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360" yWindow="75" windowWidth="11340" windowHeight="6480"/>
  </bookViews>
  <sheets>
    <sheet name="Chapter 3" sheetId="26" r:id="rId1"/>
    <sheet name="#1" sheetId="32" r:id="rId2"/>
    <sheet name="#2" sheetId="33" r:id="rId3"/>
    <sheet name="#3" sheetId="34" r:id="rId4"/>
    <sheet name="#4" sheetId="6" r:id="rId5"/>
    <sheet name="#5" sheetId="37" r:id="rId6"/>
    <sheet name="#6" sheetId="14" r:id="rId7"/>
    <sheet name="#7" sheetId="16" r:id="rId8"/>
    <sheet name="#8" sheetId="47" r:id="rId9"/>
    <sheet name="#9" sheetId="10" r:id="rId10"/>
    <sheet name="#10" sheetId="38" r:id="rId11"/>
    <sheet name="#11" sheetId="35" r:id="rId12"/>
    <sheet name="#12" sheetId="36" r:id="rId13"/>
    <sheet name="#13" sheetId="40" r:id="rId14"/>
    <sheet name="#14" sheetId="43" r:id="rId15"/>
    <sheet name="#15" sheetId="44" r:id="rId16"/>
    <sheet name="#16" sheetId="45" r:id="rId17"/>
    <sheet name="#18" sheetId="42" r:id="rId18"/>
    <sheet name="#19,20" sheetId="17" r:id="rId19"/>
    <sheet name="#21-25" sheetId="48" r:id="rId20"/>
    <sheet name="#26" sheetId="24" r:id="rId21"/>
    <sheet name="#27" sheetId="25" r:id="rId22"/>
    <sheet name="#30" sheetId="41" r:id="rId23"/>
  </sheets>
  <definedNames>
    <definedName name="solver_adj" localSheetId="19" hidden="1">'#21-25'!$D$21</definedName>
    <definedName name="solver_cvg" localSheetId="19" hidden="1">0.0001</definedName>
    <definedName name="solver_drv" localSheetId="19" hidden="1">1</definedName>
    <definedName name="solver_est" localSheetId="19" hidden="1">1</definedName>
    <definedName name="solver_itr" localSheetId="19" hidden="1">100</definedName>
    <definedName name="solver_lin" localSheetId="19" hidden="1">2</definedName>
    <definedName name="solver_neg" localSheetId="19" hidden="1">2</definedName>
    <definedName name="solver_num" localSheetId="19" hidden="1">0</definedName>
    <definedName name="solver_nwt" localSheetId="19" hidden="1">1</definedName>
    <definedName name="solver_opt" localSheetId="19" hidden="1">'#21-25'!$D$61</definedName>
    <definedName name="solver_pre" localSheetId="19" hidden="1">0.000001</definedName>
    <definedName name="solver_scl" localSheetId="19" hidden="1">2</definedName>
    <definedName name="solver_sho" localSheetId="19" hidden="1">2</definedName>
    <definedName name="solver_tim" localSheetId="19" hidden="1">100</definedName>
    <definedName name="solver_tol" localSheetId="19" hidden="1">0.05</definedName>
    <definedName name="solver_typ" localSheetId="19" hidden="1">3</definedName>
    <definedName name="solver_val" localSheetId="19" hidden="1">0</definedName>
  </definedNames>
  <calcPr calcId="152511"/>
</workbook>
</file>

<file path=xl/calcChain.xml><?xml version="1.0" encoding="utf-8"?>
<calcChain xmlns="http://schemas.openxmlformats.org/spreadsheetml/2006/main">
  <c r="D15" i="48" l="1"/>
  <c r="D11" i="40" l="1"/>
  <c r="D30" i="6"/>
  <c r="D33" i="40"/>
  <c r="J39" i="48"/>
  <c r="D16" i="43"/>
  <c r="J12" i="42"/>
  <c r="I12" i="42"/>
  <c r="P19" i="42"/>
  <c r="O19" i="42"/>
  <c r="P11" i="42"/>
  <c r="O11" i="42"/>
  <c r="H9" i="47"/>
  <c r="J9" i="47"/>
  <c r="J8" i="47"/>
  <c r="C10" i="37"/>
  <c r="G9" i="37"/>
  <c r="J9" i="37"/>
  <c r="J8" i="37"/>
  <c r="C10" i="6"/>
  <c r="H9" i="6"/>
  <c r="J9" i="6"/>
  <c r="D17" i="41"/>
  <c r="D18" i="41"/>
  <c r="D22" i="41"/>
  <c r="P75" i="48"/>
  <c r="P91" i="48"/>
  <c r="J74" i="48"/>
  <c r="J91" i="48" s="1"/>
  <c r="J110" i="48" s="1"/>
  <c r="J70" i="48"/>
  <c r="J87" i="48" s="1"/>
  <c r="J106" i="48" s="1"/>
  <c r="P69" i="48"/>
  <c r="P85" i="48"/>
  <c r="P105" i="48"/>
  <c r="J69" i="48"/>
  <c r="J86" i="48" s="1"/>
  <c r="J105" i="48" s="1"/>
  <c r="P68" i="48"/>
  <c r="P70" i="48" s="1"/>
  <c r="P84" i="48"/>
  <c r="P104" i="48" s="1"/>
  <c r="P106" i="48" s="1"/>
  <c r="J68" i="48"/>
  <c r="J84" i="48" s="1"/>
  <c r="J104" i="48" s="1"/>
  <c r="H50" i="48"/>
  <c r="H51" i="48" s="1"/>
  <c r="P40" i="48"/>
  <c r="P36" i="48"/>
  <c r="D36" i="48"/>
  <c r="J35" i="48"/>
  <c r="P34" i="48"/>
  <c r="J34" i="48"/>
  <c r="D34" i="48"/>
  <c r="P33" i="48"/>
  <c r="P35" i="48" s="1"/>
  <c r="J33" i="48"/>
  <c r="D33" i="48"/>
  <c r="D32" i="48"/>
  <c r="P20" i="48"/>
  <c r="J14" i="48"/>
  <c r="P13" i="48"/>
  <c r="D12" i="48"/>
  <c r="D25" i="40"/>
  <c r="D13" i="40"/>
  <c r="G23" i="40"/>
  <c r="G25" i="40"/>
  <c r="D36" i="10"/>
  <c r="D37" i="10"/>
  <c r="D9" i="47"/>
  <c r="D9" i="37"/>
  <c r="D10" i="37"/>
  <c r="D9" i="6"/>
  <c r="D10" i="6"/>
  <c r="D11" i="6"/>
  <c r="C27" i="6"/>
  <c r="J8" i="6"/>
  <c r="D16" i="17"/>
  <c r="F17" i="47"/>
  <c r="D21" i="47"/>
  <c r="D20" i="47"/>
  <c r="J20" i="47"/>
  <c r="D16" i="45"/>
  <c r="D18" i="45"/>
  <c r="D20" i="45"/>
  <c r="D22" i="45"/>
  <c r="D18" i="44"/>
  <c r="D19" i="44"/>
  <c r="D20" i="44"/>
  <c r="D17" i="43"/>
  <c r="D18" i="43"/>
  <c r="D20" i="43"/>
  <c r="D14" i="38"/>
  <c r="D16" i="38"/>
  <c r="I30" i="42"/>
  <c r="I31" i="42"/>
  <c r="I32" i="42"/>
  <c r="I35" i="42"/>
  <c r="L30" i="42"/>
  <c r="N30" i="42"/>
  <c r="L31" i="42"/>
  <c r="L32" i="42"/>
  <c r="N32" i="42"/>
  <c r="L35" i="42"/>
  <c r="I40" i="42"/>
  <c r="I45" i="42"/>
  <c r="I46" i="42"/>
  <c r="I43" i="42"/>
  <c r="I41" i="42"/>
  <c r="L40" i="42"/>
  <c r="L45" i="42"/>
  <c r="L46" i="42"/>
  <c r="N46" i="42"/>
  <c r="L43" i="42"/>
  <c r="L41" i="42"/>
  <c r="D19" i="41"/>
  <c r="D21" i="41"/>
  <c r="G44" i="40"/>
  <c r="G75" i="40"/>
  <c r="G42" i="40"/>
  <c r="G73" i="40"/>
  <c r="G41" i="40"/>
  <c r="G72" i="40"/>
  <c r="D44" i="40"/>
  <c r="D75" i="40"/>
  <c r="D41" i="40"/>
  <c r="D72" i="40"/>
  <c r="D35" i="40"/>
  <c r="D32" i="40"/>
  <c r="D31" i="40"/>
  <c r="D57" i="40"/>
  <c r="D21" i="37"/>
  <c r="G41" i="10"/>
  <c r="D21" i="10"/>
  <c r="G25" i="10"/>
  <c r="G28" i="10"/>
  <c r="G26" i="10"/>
  <c r="G43" i="10"/>
  <c r="D16" i="36"/>
  <c r="D28" i="36"/>
  <c r="E18" i="35"/>
  <c r="E20" i="35"/>
  <c r="D16" i="34"/>
  <c r="D18" i="34"/>
  <c r="D15" i="33"/>
  <c r="D17" i="33"/>
  <c r="D19" i="33"/>
  <c r="D15" i="32"/>
  <c r="D16" i="24"/>
  <c r="D18" i="24"/>
  <c r="D19" i="24"/>
  <c r="E21" i="24"/>
  <c r="F21" i="6"/>
  <c r="H24" i="6"/>
  <c r="H26" i="6"/>
  <c r="D24" i="6"/>
  <c r="J24" i="6"/>
  <c r="D14" i="14"/>
  <c r="D16" i="14"/>
  <c r="D18" i="16"/>
  <c r="D16" i="16"/>
  <c r="N31" i="42"/>
  <c r="N41" i="42"/>
  <c r="D18" i="17"/>
  <c r="D20" i="17"/>
  <c r="D21" i="17"/>
  <c r="D23" i="17"/>
  <c r="D16" i="40"/>
  <c r="D62" i="40"/>
  <c r="J22" i="48"/>
  <c r="D14" i="48"/>
  <c r="N45" i="42"/>
  <c r="N43" i="42"/>
  <c r="J21" i="42"/>
  <c r="N35" i="42"/>
  <c r="I21" i="42"/>
  <c r="I33" i="42"/>
  <c r="I36" i="42"/>
  <c r="J35" i="42"/>
  <c r="D56" i="40"/>
  <c r="H20" i="47"/>
  <c r="H22" i="47"/>
  <c r="D69" i="40"/>
  <c r="G76" i="40"/>
  <c r="G77" i="40"/>
  <c r="G79" i="40"/>
  <c r="D22" i="47"/>
  <c r="J21" i="47"/>
  <c r="J22" i="47"/>
  <c r="P22" i="48"/>
  <c r="G24" i="40"/>
  <c r="D25" i="10"/>
  <c r="D40" i="10"/>
  <c r="D22" i="10"/>
  <c r="D34" i="10"/>
  <c r="D21" i="44"/>
  <c r="D22" i="44"/>
  <c r="D23" i="44"/>
  <c r="D25" i="44"/>
  <c r="D26" i="41"/>
  <c r="L47" i="42"/>
  <c r="P21" i="42"/>
  <c r="L33" i="42"/>
  <c r="L36" i="42"/>
  <c r="M35" i="42"/>
  <c r="I47" i="42"/>
  <c r="O21" i="42"/>
  <c r="N40" i="42"/>
  <c r="D20" i="16"/>
  <c r="I42" i="42"/>
  <c r="L42" i="42"/>
  <c r="D34" i="40"/>
  <c r="D36" i="40"/>
  <c r="D63" i="40"/>
  <c r="D79" i="40"/>
  <c r="D48" i="40"/>
  <c r="G40" i="10"/>
  <c r="D28" i="10"/>
  <c r="D43" i="10"/>
  <c r="D11" i="37"/>
  <c r="D20" i="37"/>
  <c r="D22" i="37"/>
  <c r="D24" i="37"/>
  <c r="D25" i="6"/>
  <c r="D26" i="6"/>
  <c r="D24" i="41"/>
  <c r="D29" i="41"/>
  <c r="D25" i="24"/>
  <c r="D58" i="48"/>
  <c r="D60" i="48"/>
  <c r="P111" i="48"/>
  <c r="J31" i="42"/>
  <c r="I48" i="42"/>
  <c r="J45" i="42"/>
  <c r="J32" i="42"/>
  <c r="J30" i="42"/>
  <c r="N36" i="42"/>
  <c r="D24" i="47"/>
  <c r="D47" i="10"/>
  <c r="D59" i="48"/>
  <c r="N47" i="42"/>
  <c r="N33" i="42"/>
  <c r="M30" i="42"/>
  <c r="M31" i="42"/>
  <c r="M32" i="42"/>
  <c r="J41" i="42"/>
  <c r="N42" i="42"/>
  <c r="L48" i="42"/>
  <c r="D50" i="40"/>
  <c r="D52" i="40"/>
  <c r="D59" i="40"/>
  <c r="D65" i="40"/>
  <c r="D38" i="40"/>
  <c r="G45" i="40"/>
  <c r="G46" i="40"/>
  <c r="G48" i="40"/>
  <c r="D54" i="40"/>
  <c r="D81" i="40"/>
  <c r="D32" i="10"/>
  <c r="G29" i="10"/>
  <c r="G44" i="10"/>
  <c r="G45" i="10"/>
  <c r="G47" i="10"/>
  <c r="D27" i="6"/>
  <c r="D28" i="6"/>
  <c r="J43" i="42"/>
  <c r="J46" i="42"/>
  <c r="J47" i="42"/>
  <c r="J40" i="42"/>
  <c r="J42" i="42"/>
  <c r="J48" i="42"/>
  <c r="J33" i="42"/>
  <c r="J36" i="42"/>
  <c r="D49" i="10"/>
  <c r="D31" i="6"/>
  <c r="J25" i="6"/>
  <c r="J26" i="6"/>
  <c r="D33" i="6"/>
  <c r="M33" i="42"/>
  <c r="M36" i="42"/>
  <c r="G30" i="10"/>
  <c r="G32" i="10"/>
  <c r="M43" i="42"/>
  <c r="M45" i="42"/>
  <c r="M46" i="42"/>
  <c r="M41" i="42"/>
  <c r="N48" i="42"/>
  <c r="M40" i="42"/>
  <c r="M47" i="42"/>
  <c r="M42" i="42"/>
  <c r="M48" i="42"/>
  <c r="J107" i="48" l="1"/>
  <c r="J115" i="48" s="1"/>
  <c r="J36" i="48"/>
  <c r="J44" i="48" s="1"/>
  <c r="P86" i="48"/>
  <c r="H52" i="48"/>
  <c r="J71" i="48"/>
  <c r="J79" i="48" s="1"/>
  <c r="D35" i="48"/>
  <c r="D37" i="48" s="1"/>
  <c r="D38" i="48" s="1"/>
  <c r="D39" i="48" s="1"/>
  <c r="D41" i="48" s="1"/>
  <c r="D42" i="48" s="1"/>
  <c r="D16" i="48"/>
  <c r="D29" i="48" s="1"/>
  <c r="D98" i="48" l="1"/>
  <c r="D97" i="48"/>
  <c r="D19" i="48"/>
  <c r="P76" i="48"/>
  <c r="P41" i="48"/>
  <c r="P42" i="48" s="1"/>
  <c r="D61" i="48" s="1"/>
  <c r="D62" i="48" l="1"/>
  <c r="P71" i="48" s="1"/>
  <c r="P44" i="48"/>
  <c r="P92" i="48"/>
  <c r="P77" i="48"/>
  <c r="P93" i="48" l="1"/>
  <c r="D101" i="48" s="1"/>
  <c r="P112" i="48"/>
  <c r="P113" i="48" s="1"/>
  <c r="D46" i="48"/>
  <c r="D54" i="48"/>
  <c r="P87" i="48"/>
  <c r="P79" i="48"/>
  <c r="D63" i="48" s="1"/>
  <c r="J85" i="48" l="1"/>
  <c r="J88" i="48" s="1"/>
  <c r="J95" i="48" s="1"/>
  <c r="D65" i="48"/>
  <c r="D100" i="48"/>
  <c r="P107" i="48" s="1"/>
  <c r="P115" i="48" s="1"/>
  <c r="P95" i="48"/>
</calcChain>
</file>

<file path=xl/sharedStrings.xml><?xml version="1.0" encoding="utf-8"?>
<sst xmlns="http://schemas.openxmlformats.org/spreadsheetml/2006/main" count="597" uniqueCount="233">
  <si>
    <t>Input area:</t>
  </si>
  <si>
    <t>Current liabilities</t>
  </si>
  <si>
    <t>Output area:</t>
  </si>
  <si>
    <t>Current assets</t>
  </si>
  <si>
    <t>Sales</t>
  </si>
  <si>
    <t>Costs</t>
  </si>
  <si>
    <t>Assets</t>
  </si>
  <si>
    <t>Debt</t>
  </si>
  <si>
    <t>Equity</t>
  </si>
  <si>
    <t>Pro forma income statement</t>
  </si>
  <si>
    <t>Net income</t>
  </si>
  <si>
    <t>Sales increase</t>
  </si>
  <si>
    <t>Pro forma balance sheet</t>
  </si>
  <si>
    <t>Total</t>
  </si>
  <si>
    <t>Dividends</t>
  </si>
  <si>
    <t>Add. To RE</t>
  </si>
  <si>
    <t>Next year's sales</t>
  </si>
  <si>
    <t>Percent increase in sales =</t>
  </si>
  <si>
    <t>Question 3</t>
  </si>
  <si>
    <t>Question 4</t>
  </si>
  <si>
    <t>Dividend paid</t>
  </si>
  <si>
    <t>Tax rate</t>
  </si>
  <si>
    <t>Taxable income</t>
  </si>
  <si>
    <t>Taxes</t>
  </si>
  <si>
    <t>Question 5</t>
  </si>
  <si>
    <t>Fixed assets</t>
  </si>
  <si>
    <t>Long-term debt</t>
  </si>
  <si>
    <t>Payout ratio</t>
  </si>
  <si>
    <t>Question 9</t>
  </si>
  <si>
    <t>Question 10</t>
  </si>
  <si>
    <t>Cash</t>
  </si>
  <si>
    <t>Accounts receivable</t>
  </si>
  <si>
    <t>Inventory</t>
  </si>
  <si>
    <t>Net plant and equipment</t>
  </si>
  <si>
    <t>Accounts payable</t>
  </si>
  <si>
    <t>Notes payable</t>
  </si>
  <si>
    <t>Common stock</t>
  </si>
  <si>
    <t>Retained earnings</t>
  </si>
  <si>
    <t>Owners' equity</t>
  </si>
  <si>
    <t xml:space="preserve">Total liabilities and </t>
  </si>
  <si>
    <t>Total assets</t>
  </si>
  <si>
    <t>Question 11</t>
  </si>
  <si>
    <t>Question 12</t>
  </si>
  <si>
    <t>Return on assets</t>
  </si>
  <si>
    <t>Question 13</t>
  </si>
  <si>
    <t>Return on equity</t>
  </si>
  <si>
    <t>Question 14</t>
  </si>
  <si>
    <t>Profit margin</t>
  </si>
  <si>
    <t>Debt-equity ratio</t>
  </si>
  <si>
    <t>Question 15</t>
  </si>
  <si>
    <t>Total asset turnover</t>
  </si>
  <si>
    <t>Equity multiplier</t>
  </si>
  <si>
    <t>Percent of capacity</t>
  </si>
  <si>
    <t>Current sales</t>
  </si>
  <si>
    <t>Projected sales</t>
  </si>
  <si>
    <t>Debt/equity ratio</t>
  </si>
  <si>
    <t>Sustainable growth rate</t>
  </si>
  <si>
    <t>Add. to retained earnings</t>
  </si>
  <si>
    <t>Other expenses</t>
  </si>
  <si>
    <t>Interest expense</t>
  </si>
  <si>
    <t>EBIT</t>
  </si>
  <si>
    <t>Net plant and</t>
  </si>
  <si>
    <t>equipment</t>
  </si>
  <si>
    <t>Common stock and</t>
  </si>
  <si>
    <t>paid-in surplus</t>
  </si>
  <si>
    <t>owners' equity</t>
  </si>
  <si>
    <t>Liabilities and owners' equity</t>
  </si>
  <si>
    <t>Operating capacity</t>
  </si>
  <si>
    <t>Total assets to sales</t>
  </si>
  <si>
    <t>External financing needed = Increase in assets - Addition to retained earnings</t>
  </si>
  <si>
    <t>Net income = PM(S)</t>
  </si>
  <si>
    <t>Internal growth rate:</t>
  </si>
  <si>
    <t>Problems 1-30</t>
  </si>
  <si>
    <t>Input boxes in tan</t>
  </si>
  <si>
    <t>Output boxes in yellow</t>
  </si>
  <si>
    <t>Given data in blue</t>
  </si>
  <si>
    <t>Calculations in red</t>
  </si>
  <si>
    <t>Answers in green</t>
  </si>
  <si>
    <t>which is impossible;</t>
  </si>
  <si>
    <t>payout ratio is 0, which corresponds to b = 1, or total earnings retention.</t>
  </si>
  <si>
    <t xml:space="preserve">Return on equity </t>
  </si>
  <si>
    <t xml:space="preserve">Equity multiplier </t>
  </si>
  <si>
    <t>Beginning TA</t>
  </si>
  <si>
    <t>Ending TA</t>
  </si>
  <si>
    <t>Ending equity</t>
  </si>
  <si>
    <t>Beginning equity</t>
  </si>
  <si>
    <t>ROE (ending equity)</t>
  </si>
  <si>
    <t>ROE (beg. equity)</t>
  </si>
  <si>
    <t>Exact SGR</t>
  </si>
  <si>
    <t>Plowback ratio</t>
  </si>
  <si>
    <t xml:space="preserve">ROE x b (using beg. </t>
  </si>
  <si>
    <t>Equity for ROE)</t>
  </si>
  <si>
    <t>Question 30</t>
  </si>
  <si>
    <t>Growth rate</t>
  </si>
  <si>
    <t xml:space="preserve">This is a negative dividend payout ratio of </t>
  </si>
  <si>
    <t>Maximum sustainable g</t>
  </si>
  <si>
    <t>ROA</t>
  </si>
  <si>
    <t xml:space="preserve">ROE x b (using end </t>
  </si>
  <si>
    <t>Chapter 3</t>
  </si>
  <si>
    <t>Question 6</t>
  </si>
  <si>
    <t>Question 7</t>
  </si>
  <si>
    <t xml:space="preserve">Total equity </t>
  </si>
  <si>
    <t xml:space="preserve">Net income </t>
  </si>
  <si>
    <t>Question 1</t>
  </si>
  <si>
    <t>Question 2</t>
  </si>
  <si>
    <t>Firm A</t>
  </si>
  <si>
    <t>D/TA</t>
  </si>
  <si>
    <t>Firm B</t>
  </si>
  <si>
    <t>Firm A ROE</t>
  </si>
  <si>
    <t>Firm B ROE</t>
  </si>
  <si>
    <t>As long as both net income and sales are measured</t>
  </si>
  <si>
    <t xml:space="preserve">except for some market value ratios like EPS and </t>
  </si>
  <si>
    <t>BVPS, none of the financial ratios discussed in the</t>
  </si>
  <si>
    <t>text are measured in terms of currency. This is one</t>
  </si>
  <si>
    <t>reason why financial ratio analysis is widely used in</t>
  </si>
  <si>
    <t>international finance to compare business operations</t>
  </si>
  <si>
    <t>of firms and/or divisions across national economic</t>
  </si>
  <si>
    <t>borders.</t>
  </si>
  <si>
    <t>New sales amount</t>
  </si>
  <si>
    <t>Current assets/Sales</t>
  </si>
  <si>
    <t>Fixed assets/Sales</t>
  </si>
  <si>
    <t>Short-term debt/Sales</t>
  </si>
  <si>
    <t>Stock value</t>
  </si>
  <si>
    <t>Change in sales</t>
  </si>
  <si>
    <t>a.</t>
  </si>
  <si>
    <t>Liabilities and equity</t>
  </si>
  <si>
    <t>Additions to retained earnings</t>
  </si>
  <si>
    <t>Total equity</t>
  </si>
  <si>
    <t>Total liabilities and equity</t>
  </si>
  <si>
    <t>b.</t>
  </si>
  <si>
    <t>EFN</t>
  </si>
  <si>
    <t>c.</t>
  </si>
  <si>
    <t>Sales growth</t>
  </si>
  <si>
    <t>Short-term debt</t>
  </si>
  <si>
    <t>Total assets/Sales</t>
  </si>
  <si>
    <t>Addition to retained earnings</t>
  </si>
  <si>
    <t>Accumulated retained earnings</t>
  </si>
  <si>
    <t>Assets/Sales</t>
  </si>
  <si>
    <t>New sales</t>
  </si>
  <si>
    <t>Alternatively:</t>
  </si>
  <si>
    <t xml:space="preserve">ROE </t>
  </si>
  <si>
    <t>Retention ratio</t>
  </si>
  <si>
    <t>Sustainable growth</t>
  </si>
  <si>
    <t>d.</t>
  </si>
  <si>
    <t>Zero dividend EFN</t>
  </si>
  <si>
    <t>Projected net income</t>
  </si>
  <si>
    <t>Question 16</t>
  </si>
  <si>
    <t>Question 26</t>
  </si>
  <si>
    <t>Question 27</t>
  </si>
  <si>
    <t>Question 19,20</t>
  </si>
  <si>
    <t>Common stock and paid-in surplus</t>
  </si>
  <si>
    <t>Total liabilities and owners' equity</t>
  </si>
  <si>
    <t>Question 18</t>
  </si>
  <si>
    <t>Common
size</t>
  </si>
  <si>
    <t>Common
base year</t>
  </si>
  <si>
    <t>ROE</t>
  </si>
  <si>
    <t>Percent credit sales</t>
  </si>
  <si>
    <t>Total sales</t>
  </si>
  <si>
    <t>Credit sales</t>
  </si>
  <si>
    <t>Receivables turnover</t>
  </si>
  <si>
    <t>Days' sales in receivables</t>
  </si>
  <si>
    <t>Long-term debt ratio</t>
  </si>
  <si>
    <t>Current ratio</t>
  </si>
  <si>
    <t xml:space="preserve">Current assets </t>
  </si>
  <si>
    <t xml:space="preserve">Long-term debt </t>
  </si>
  <si>
    <t xml:space="preserve">Total debt  </t>
  </si>
  <si>
    <t xml:space="preserve">Total assets </t>
  </si>
  <si>
    <t xml:space="preserve">Net fixed assets </t>
  </si>
  <si>
    <t>Total interest expense</t>
  </si>
  <si>
    <t>Depreciation expense</t>
  </si>
  <si>
    <t xml:space="preserve">Earnings before taxes </t>
  </si>
  <si>
    <t xml:space="preserve">Cash coverage ratio </t>
  </si>
  <si>
    <t>Question 8</t>
  </si>
  <si>
    <t>Full capacity sales</t>
  </si>
  <si>
    <t xml:space="preserve">Fixed assets / Full capacity sales </t>
  </si>
  <si>
    <t xml:space="preserve">Total fixed assets </t>
  </si>
  <si>
    <t xml:space="preserve">New fixed assets 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</si>
  <si>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</si>
  <si>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</si>
  <si>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</si>
  <si>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</si>
  <si>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 xml:space="preserve">Profit margin </t>
  </si>
  <si>
    <t xml:space="preserve">Net income  </t>
  </si>
  <si>
    <t>External financing</t>
  </si>
  <si>
    <t xml:space="preserve">Sustainable growth rate </t>
  </si>
  <si>
    <t xml:space="preserve">Maximum increase in sales </t>
  </si>
  <si>
    <t xml:space="preserve">Percent increase in sales </t>
  </si>
  <si>
    <t xml:space="preserve">External financing </t>
  </si>
  <si>
    <t>Additions to RE</t>
  </si>
  <si>
    <t>Total L&amp;E</t>
  </si>
  <si>
    <t>EBITDA</t>
  </si>
  <si>
    <t xml:space="preserve">Dividend payout ratio </t>
  </si>
  <si>
    <t xml:space="preserve">Full capacity sales </t>
  </si>
  <si>
    <t xml:space="preserve">External financing needed  </t>
  </si>
  <si>
    <t xml:space="preserve">New total debt </t>
  </si>
  <si>
    <t xml:space="preserve">Fixed assets required at full capacity </t>
  </si>
  <si>
    <t xml:space="preserve">New LTD </t>
  </si>
  <si>
    <t>Excess debt raised</t>
  </si>
  <si>
    <t>Excess cash</t>
  </si>
  <si>
    <t>Total debt at current D/A</t>
  </si>
  <si>
    <t>Total equity at current D/A</t>
  </si>
  <si>
    <t>Debt repurchase</t>
  </si>
  <si>
    <t>Equity repurchase</t>
  </si>
  <si>
    <t>Questions 21-25</t>
  </si>
  <si>
    <t>For problems 23, 24, and 25, change the percent sales growth rate in the input area below.</t>
  </si>
  <si>
    <t>#23 and #25</t>
  </si>
  <si>
    <t>#22 and #24</t>
  </si>
  <si>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 </t>
    </r>
  </si>
  <si>
    <t xml:space="preserve">Payout ratio </t>
  </si>
  <si>
    <t xml:space="preserve">  Accounts payable</t>
  </si>
  <si>
    <t xml:space="preserve">  Notes payable</t>
  </si>
  <si>
    <t xml:space="preserve">    Total</t>
  </si>
  <si>
    <t xml:space="preserve">  Retained earnings</t>
  </si>
  <si>
    <t xml:space="preserve">      paid-in surplus</t>
  </si>
  <si>
    <t xml:space="preserve">  Common stock and </t>
  </si>
  <si>
    <t>2016 Pro Forma Income Statement</t>
  </si>
  <si>
    <t xml:space="preserve">in the same currency, there is not a problem; in fact, </t>
  </si>
  <si>
    <t>Debt/Equity ratio</t>
  </si>
  <si>
    <t>Add. to RE</t>
  </si>
  <si>
    <t>Debt/Asset ratio</t>
  </si>
  <si>
    <t xml:space="preserve">2019 Debt/Equity ratio </t>
  </si>
  <si>
    <t>Equity/Asset ratio</t>
  </si>
  <si>
    <t>the growth rate is inconsistent with the other constraints. The lowest possible</t>
  </si>
  <si>
    <r>
      <t xml:space="preserve">Increase in assets = A X </t>
    </r>
    <r>
      <rPr>
        <i/>
        <sz val="12"/>
        <rFont val="Arial"/>
        <family val="2"/>
      </rPr>
      <t>g</t>
    </r>
  </si>
  <si>
    <r>
      <t xml:space="preserve">Addition to retained earnings = (Net income X 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) (1 + </t>
    </r>
    <r>
      <rPr>
        <i/>
        <sz val="12"/>
        <rFont val="Arial"/>
        <family val="2"/>
      </rPr>
      <t>g</t>
    </r>
    <r>
      <rPr>
        <sz val="12"/>
        <rFont val="Arial"/>
        <family val="2"/>
      </rPr>
      <t>)</t>
    </r>
  </si>
  <si>
    <r>
      <t>Thus, EFN = A(</t>
    </r>
    <r>
      <rPr>
        <i/>
        <sz val="12"/>
        <rFont val="Arial"/>
        <family val="2"/>
      </rPr>
      <t>g</t>
    </r>
    <r>
      <rPr>
        <sz val="12"/>
        <rFont val="Arial"/>
        <family val="2"/>
      </rPr>
      <t>) - 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(1 + </t>
    </r>
    <r>
      <rPr>
        <i/>
        <sz val="12"/>
        <rFont val="Arial"/>
        <family val="2"/>
      </rPr>
      <t>g</t>
    </r>
    <r>
      <rPr>
        <sz val="12"/>
        <rFont val="Arial"/>
        <family val="2"/>
      </rPr>
      <t>)</t>
    </r>
  </si>
  <si>
    <r>
      <t xml:space="preserve">                   = A(</t>
    </r>
    <r>
      <rPr>
        <i/>
        <sz val="12"/>
        <rFont val="Arial"/>
        <family val="2"/>
      </rPr>
      <t>g</t>
    </r>
    <r>
      <rPr>
        <sz val="12"/>
        <rFont val="Arial"/>
        <family val="2"/>
      </rPr>
      <t>) - 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 - [PM(S)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]</t>
    </r>
    <r>
      <rPr>
        <i/>
        <sz val="12"/>
        <rFont val="Arial"/>
        <family val="2"/>
      </rPr>
      <t>g</t>
    </r>
  </si>
  <si>
    <r>
      <t xml:space="preserve">                   = -PM(S)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 + [A-PM(S)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]</t>
    </r>
    <r>
      <rPr>
        <i/>
        <sz val="12"/>
        <rFont val="Arial"/>
        <family val="2"/>
      </rPr>
      <t>g</t>
    </r>
  </si>
  <si>
    <r>
      <t>EFN              = 0 = -PM(S)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 + [A - 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]</t>
    </r>
    <r>
      <rPr>
        <i/>
        <sz val="12"/>
        <rFont val="Arial"/>
        <family val="2"/>
      </rPr>
      <t>g</t>
    </r>
  </si>
  <si>
    <r>
      <t xml:space="preserve">                      = 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 xml:space="preserve">(ROA)/[1 - 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(ROA)]</t>
    </r>
  </si>
  <si>
    <r>
      <rPr>
        <i/>
        <sz val="12"/>
        <rFont val="Arial"/>
        <family val="2"/>
      </rPr>
      <t>g</t>
    </r>
    <r>
      <rPr>
        <sz val="12"/>
        <rFont val="Arial"/>
        <family val="2"/>
      </rPr>
      <t xml:space="preserve">                    = [PM(S)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]/[A - 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]</t>
    </r>
  </si>
  <si>
    <t>Since ROA  = NI/A = PM(S)/A, dividing numerator and denominator by A gives</t>
  </si>
  <si>
    <r>
      <rPr>
        <i/>
        <sz val="12"/>
        <rFont val="Arial"/>
        <family val="2"/>
      </rPr>
      <t>g</t>
    </r>
    <r>
      <rPr>
        <sz val="12"/>
        <rFont val="Arial"/>
        <family val="2"/>
      </rPr>
      <t xml:space="preserve">                    = [(PM(S)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)/A]/[(A - PM(S)</t>
    </r>
    <r>
      <rPr>
        <i/>
        <sz val="12"/>
        <rFont val="Arial"/>
        <family val="2"/>
      </rPr>
      <t>b</t>
    </r>
    <r>
      <rPr>
        <sz val="12"/>
        <rFont val="Arial"/>
        <family val="2"/>
      </rPr>
      <t>)/A]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</si>
</sst>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0.0000"/>
    <numFmt numFmtId="169" formatCode="&quot;$&quot;#,##0.00"/>
    <numFmt numFmtId="170" formatCode="#,##0.0000_);\(#,##0.0000\)"/>
    <numFmt numFmtId="171" formatCode="_(* #,##0.00000_);_(* \(#,##0.00000\);_(* &quot;-&quot;??_);_(@_)"/>
    <numFmt numFmtId="172" formatCode="_(&quot;$&quot;* #,##0.0_);_(&quot;$&quot;* \(#,##0.0\);_(&quot;$&quot;* &quot;-&quot;?_);_(@_)"/>
    <numFmt numFmtId="173" formatCode="_(* #,##0.00000_);_(* \(#,##0.00000\);_(* &quot;-&quot;?????_);_(@_)"/>
    <numFmt numFmtId="174" formatCode="_(&quot;$&quot;* #,##0.00000_);_(&quot;$&quot;* \(#,##0.00000\);_(&quot;$&quot;* &quot;-&quot;??_);_(@_)"/>
    <numFmt numFmtId="175" formatCode="_-[$£-309]* #,##0_-;\-[$£-309]* #,##0_-;_-[$£-309]* &quot;-&quot;??_-;_-@_-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2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0" fillId="2" borderId="1" xfId="0" applyFill="1" applyBorder="1"/>
    <xf numFmtId="0" fontId="4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2" borderId="4" xfId="0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3" fillId="3" borderId="0" xfId="0" applyFont="1" applyFill="1" applyBorder="1"/>
    <xf numFmtId="0" fontId="0" fillId="3" borderId="0" xfId="0" applyFill="1" applyBorder="1"/>
    <xf numFmtId="164" fontId="6" fillId="3" borderId="0" xfId="2" applyNumberFormat="1" applyFont="1" applyFill="1" applyBorder="1"/>
    <xf numFmtId="0" fontId="0" fillId="3" borderId="5" xfId="0" applyFill="1" applyBorder="1"/>
    <xf numFmtId="41" fontId="5" fillId="3" borderId="0" xfId="0" applyNumberFormat="1" applyFont="1" applyFill="1" applyBorder="1"/>
    <xf numFmtId="0" fontId="3" fillId="3" borderId="4" xfId="0" applyFont="1" applyFill="1" applyBorder="1"/>
    <xf numFmtId="0" fontId="3" fillId="3" borderId="9" xfId="0" applyFont="1" applyFill="1" applyBorder="1"/>
    <xf numFmtId="41" fontId="8" fillId="3" borderId="0" xfId="0" applyNumberFormat="1" applyFont="1" applyFill="1" applyBorder="1"/>
    <xf numFmtId="0" fontId="3" fillId="3" borderId="5" xfId="0" applyFont="1" applyFill="1" applyBorder="1"/>
    <xf numFmtId="164" fontId="9" fillId="3" borderId="0" xfId="2" applyNumberFormat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3" fillId="3" borderId="7" xfId="0" applyFont="1" applyFill="1" applyBorder="1"/>
    <xf numFmtId="43" fontId="7" fillId="3" borderId="0" xfId="0" applyNumberFormat="1" applyFont="1" applyFill="1" applyBorder="1"/>
    <xf numFmtId="0" fontId="0" fillId="3" borderId="0" xfId="0" applyFill="1"/>
    <xf numFmtId="0" fontId="3" fillId="3" borderId="9" xfId="0" applyFont="1" applyFill="1" applyBorder="1" applyAlignment="1"/>
    <xf numFmtId="0" fontId="3" fillId="3" borderId="0" xfId="0" applyFont="1" applyFill="1"/>
    <xf numFmtId="166" fontId="6" fillId="3" borderId="0" xfId="1" applyNumberFormat="1" applyFont="1" applyFill="1" applyBorder="1"/>
    <xf numFmtId="166" fontId="6" fillId="3" borderId="9" xfId="1" applyNumberFormat="1" applyFont="1" applyFill="1" applyBorder="1"/>
    <xf numFmtId="164" fontId="6" fillId="3" borderId="10" xfId="2" applyNumberFormat="1" applyFont="1" applyFill="1" applyBorder="1"/>
    <xf numFmtId="43" fontId="6" fillId="3" borderId="0" xfId="1" applyFont="1" applyFill="1" applyBorder="1"/>
    <xf numFmtId="44" fontId="6" fillId="3" borderId="0" xfId="2" applyFont="1" applyFill="1" applyBorder="1"/>
    <xf numFmtId="164" fontId="7" fillId="3" borderId="0" xfId="2" applyNumberFormat="1" applyFont="1" applyFill="1" applyBorder="1"/>
    <xf numFmtId="164" fontId="7" fillId="3" borderId="11" xfId="2" applyNumberFormat="1" applyFont="1" applyFill="1" applyBorder="1"/>
    <xf numFmtId="0" fontId="3" fillId="0" borderId="0" xfId="0" applyFont="1" applyFill="1" applyBorder="1"/>
    <xf numFmtId="9" fontId="6" fillId="3" borderId="0" xfId="3" applyFont="1" applyFill="1" applyBorder="1"/>
    <xf numFmtId="44" fontId="6" fillId="3" borderId="0" xfId="2" applyNumberFormat="1" applyFont="1" applyFill="1" applyBorder="1"/>
    <xf numFmtId="44" fontId="6" fillId="3" borderId="0" xfId="1" applyNumberFormat="1" applyFont="1" applyFill="1" applyBorder="1"/>
    <xf numFmtId="44" fontId="6" fillId="3" borderId="10" xfId="2" applyNumberFormat="1" applyFont="1" applyFill="1" applyBorder="1"/>
    <xf numFmtId="44" fontId="7" fillId="3" borderId="11" xfId="2" applyNumberFormat="1" applyFont="1" applyFill="1" applyBorder="1"/>
    <xf numFmtId="43" fontId="6" fillId="3" borderId="9" xfId="1" applyNumberFormat="1" applyFont="1" applyFill="1" applyBorder="1"/>
    <xf numFmtId="165" fontId="6" fillId="3" borderId="0" xfId="1" applyNumberFormat="1" applyFont="1" applyFill="1" applyBorder="1"/>
    <xf numFmtId="43" fontId="6" fillId="3" borderId="0" xfId="1" applyNumberFormat="1" applyFont="1" applyFill="1" applyBorder="1"/>
    <xf numFmtId="0" fontId="3" fillId="3" borderId="0" xfId="0" applyFont="1" applyFill="1" applyBorder="1" applyAlignment="1">
      <alignment horizontal="right"/>
    </xf>
    <xf numFmtId="0" fontId="6" fillId="3" borderId="0" xfId="0" applyFont="1" applyFill="1" applyBorder="1"/>
    <xf numFmtId="10" fontId="7" fillId="3" borderId="0" xfId="3" applyNumberFormat="1" applyFont="1" applyFill="1" applyBorder="1"/>
    <xf numFmtId="10" fontId="7" fillId="3" borderId="11" xfId="3" applyNumberFormat="1" applyFont="1" applyFill="1" applyBorder="1"/>
    <xf numFmtId="0" fontId="3" fillId="3" borderId="0" xfId="0" applyFont="1" applyFill="1" applyBorder="1" applyAlignment="1"/>
    <xf numFmtId="0" fontId="11" fillId="0" borderId="0" xfId="0" applyNumberFormat="1" applyFont="1"/>
    <xf numFmtId="0" fontId="11" fillId="2" borderId="3" xfId="0" applyNumberFormat="1" applyFont="1" applyFill="1" applyBorder="1"/>
    <xf numFmtId="0" fontId="11" fillId="2" borderId="5" xfId="0" applyNumberFormat="1" applyFont="1" applyFill="1" applyBorder="1"/>
    <xf numFmtId="0" fontId="11" fillId="2" borderId="8" xfId="0" applyNumberFormat="1" applyFont="1" applyFill="1" applyBorder="1"/>
    <xf numFmtId="0" fontId="0" fillId="3" borderId="2" xfId="0" applyFill="1" applyBorder="1"/>
    <xf numFmtId="9" fontId="10" fillId="2" borderId="7" xfId="3" applyFont="1" applyFill="1" applyBorder="1"/>
    <xf numFmtId="0" fontId="3" fillId="3" borderId="3" xfId="0" applyFont="1" applyFill="1" applyBorder="1"/>
    <xf numFmtId="9" fontId="6" fillId="3" borderId="0" xfId="1" applyNumberFormat="1" applyFont="1" applyFill="1" applyBorder="1"/>
    <xf numFmtId="10" fontId="6" fillId="3" borderId="0" xfId="3" applyNumberFormat="1" applyFont="1" applyFill="1" applyBorder="1"/>
    <xf numFmtId="164" fontId="6" fillId="3" borderId="0" xfId="0" applyNumberFormat="1" applyFont="1" applyFill="1" applyBorder="1"/>
    <xf numFmtId="164" fontId="10" fillId="0" borderId="0" xfId="2" applyNumberFormat="1" applyFont="1" applyFill="1" applyBorder="1"/>
    <xf numFmtId="0" fontId="0" fillId="0" borderId="0" xfId="0" applyFill="1"/>
    <xf numFmtId="166" fontId="10" fillId="0" borderId="0" xfId="1" applyNumberFormat="1" applyFont="1" applyFill="1" applyBorder="1"/>
    <xf numFmtId="164" fontId="10" fillId="2" borderId="4" xfId="2" applyNumberFormat="1" applyFont="1" applyFill="1" applyBorder="1"/>
    <xf numFmtId="166" fontId="10" fillId="2" borderId="4" xfId="1" applyNumberFormat="1" applyFont="1" applyFill="1" applyBorder="1"/>
    <xf numFmtId="168" fontId="6" fillId="3" borderId="0" xfId="0" applyNumberFormat="1" applyFont="1" applyFill="1" applyBorder="1"/>
    <xf numFmtId="43" fontId="7" fillId="3" borderId="0" xfId="1" applyFont="1" applyFill="1" applyBorder="1"/>
    <xf numFmtId="10" fontId="7" fillId="3" borderId="11" xfId="3" applyNumberFormat="1" applyFont="1" applyFill="1" applyBorder="1" applyAlignment="1">
      <alignment horizontal="right"/>
    </xf>
    <xf numFmtId="164" fontId="6" fillId="3" borderId="0" xfId="1" applyNumberFormat="1" applyFont="1" applyFill="1" applyBorder="1"/>
    <xf numFmtId="44" fontId="7" fillId="3" borderId="0" xfId="2" applyNumberFormat="1" applyFont="1" applyFill="1" applyBorder="1"/>
    <xf numFmtId="166" fontId="6" fillId="3" borderId="0" xfId="2" applyNumberFormat="1" applyFont="1" applyFill="1" applyBorder="1"/>
    <xf numFmtId="43" fontId="6" fillId="3" borderId="0" xfId="0" applyNumberFormat="1" applyFont="1" applyFill="1" applyBorder="1"/>
    <xf numFmtId="164" fontId="6" fillId="3" borderId="12" xfId="2" applyNumberFormat="1" applyFont="1" applyFill="1" applyBorder="1"/>
    <xf numFmtId="164" fontId="6" fillId="3" borderId="13" xfId="2" applyNumberFormat="1" applyFont="1" applyFill="1" applyBorder="1"/>
    <xf numFmtId="164" fontId="6" fillId="3" borderId="9" xfId="2" applyNumberFormat="1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3" fillId="3" borderId="1" xfId="0" applyFont="1" applyFill="1" applyBorder="1"/>
    <xf numFmtId="166" fontId="6" fillId="3" borderId="7" xfId="1" applyNumberFormat="1" applyFont="1" applyFill="1" applyBorder="1"/>
    <xf numFmtId="41" fontId="8" fillId="3" borderId="7" xfId="0" applyNumberFormat="1" applyFont="1" applyFill="1" applyBorder="1"/>
    <xf numFmtId="0" fontId="13" fillId="4" borderId="0" xfId="0" applyFont="1" applyFill="1" applyBorder="1"/>
    <xf numFmtId="0" fontId="13" fillId="4" borderId="0" xfId="0" applyFont="1" applyFill="1"/>
    <xf numFmtId="0" fontId="0" fillId="4" borderId="0" xfId="0" applyFill="1"/>
    <xf numFmtId="2" fontId="14" fillId="4" borderId="0" xfId="0" applyNumberFormat="1" applyFont="1" applyFill="1" applyBorder="1" applyAlignment="1"/>
    <xf numFmtId="0" fontId="15" fillId="4" borderId="0" xfId="0" applyFont="1" applyFill="1" applyBorder="1"/>
    <xf numFmtId="0" fontId="16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17" fillId="4" borderId="0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20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164" fontId="5" fillId="2" borderId="0" xfId="2" applyNumberFormat="1" applyFont="1" applyFill="1" applyBorder="1"/>
    <xf numFmtId="166" fontId="5" fillId="2" borderId="0" xfId="1" applyNumberFormat="1" applyFont="1" applyFill="1" applyBorder="1"/>
    <xf numFmtId="9" fontId="5" fillId="2" borderId="0" xfId="3" applyFont="1" applyFill="1" applyBorder="1"/>
    <xf numFmtId="43" fontId="5" fillId="2" borderId="0" xfId="1" applyNumberFormat="1" applyFont="1" applyFill="1" applyBorder="1"/>
    <xf numFmtId="167" fontId="5" fillId="2" borderId="0" xfId="3" applyNumberFormat="1" applyFont="1" applyFill="1" applyBorder="1"/>
    <xf numFmtId="43" fontId="5" fillId="2" borderId="0" xfId="1" applyFont="1" applyFill="1" applyBorder="1"/>
    <xf numFmtId="10" fontId="5" fillId="2" borderId="0" xfId="3" applyNumberFormat="1" applyFont="1" applyFill="1" applyBorder="1"/>
    <xf numFmtId="42" fontId="5" fillId="2" borderId="0" xfId="2" applyNumberFormat="1" applyFont="1" applyFill="1" applyBorder="1"/>
    <xf numFmtId="42" fontId="5" fillId="2" borderId="0" xfId="1" applyNumberFormat="1" applyFont="1" applyFill="1" applyBorder="1"/>
    <xf numFmtId="10" fontId="6" fillId="3" borderId="0" xfId="1" applyNumberFormat="1" applyFont="1" applyFill="1" applyBorder="1"/>
    <xf numFmtId="42" fontId="6" fillId="3" borderId="0" xfId="1" applyNumberFormat="1" applyFont="1" applyFill="1" applyBorder="1"/>
    <xf numFmtId="42" fontId="6" fillId="3" borderId="0" xfId="3" applyNumberFormat="1" applyFont="1" applyFill="1" applyBorder="1"/>
    <xf numFmtId="0" fontId="11" fillId="0" borderId="0" xfId="0" applyFont="1" applyFill="1" applyBorder="1"/>
    <xf numFmtId="39" fontId="5" fillId="2" borderId="0" xfId="0" applyNumberFormat="1" applyFont="1" applyFill="1" applyBorder="1"/>
    <xf numFmtId="0" fontId="0" fillId="2" borderId="5" xfId="0" applyFill="1" applyBorder="1"/>
    <xf numFmtId="0" fontId="13" fillId="0" borderId="0" xfId="0" applyFont="1" applyFill="1" applyBorder="1"/>
    <xf numFmtId="39" fontId="3" fillId="3" borderId="2" xfId="0" applyNumberFormat="1" applyFont="1" applyFill="1" applyBorder="1"/>
    <xf numFmtId="39" fontId="11" fillId="3" borderId="7" xfId="0" applyNumberFormat="1" applyFont="1" applyFill="1" applyBorder="1" applyAlignment="1">
      <alignment horizontal="center"/>
    </xf>
    <xf numFmtId="39" fontId="5" fillId="2" borderId="0" xfId="0" applyNumberFormat="1" applyFont="1" applyFill="1" applyBorder="1" applyAlignment="1">
      <alignment horizontal="right"/>
    </xf>
    <xf numFmtId="167" fontId="5" fillId="2" borderId="0" xfId="3" applyNumberFormat="1" applyFont="1" applyFill="1" applyBorder="1" applyAlignment="1">
      <alignment horizontal="right"/>
    </xf>
    <xf numFmtId="164" fontId="5" fillId="2" borderId="0" xfId="2" applyNumberFormat="1" applyFont="1" applyFill="1" applyBorder="1" applyAlignment="1">
      <alignment horizontal="right"/>
    </xf>
    <xf numFmtId="39" fontId="3" fillId="3" borderId="3" xfId="0" applyNumberFormat="1" applyFont="1" applyFill="1" applyBorder="1"/>
    <xf numFmtId="39" fontId="7" fillId="3" borderId="11" xfId="0" applyNumberFormat="1" applyFont="1" applyFill="1" applyBorder="1"/>
    <xf numFmtId="2" fontId="11" fillId="3" borderId="5" xfId="0" applyNumberFormat="1" applyFont="1" applyFill="1" applyBorder="1"/>
    <xf numFmtId="39" fontId="11" fillId="3" borderId="0" xfId="0" applyNumberFormat="1" applyFont="1" applyFill="1" applyBorder="1" applyAlignment="1">
      <alignment horizontal="center"/>
    </xf>
    <xf numFmtId="39" fontId="11" fillId="3" borderId="5" xfId="2" applyNumberFormat="1" applyFont="1" applyFill="1" applyBorder="1" applyAlignment="1">
      <alignment horizontal="center"/>
    </xf>
    <xf numFmtId="39" fontId="11" fillId="3" borderId="8" xfId="2" applyNumberFormat="1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3" xfId="0" applyFont="1" applyFill="1" applyBorder="1"/>
    <xf numFmtId="0" fontId="13" fillId="2" borderId="5" xfId="0" applyFont="1" applyFill="1" applyBorder="1"/>
    <xf numFmtId="37" fontId="5" fillId="2" borderId="0" xfId="0" applyNumberFormat="1" applyFont="1" applyFill="1" applyBorder="1"/>
    <xf numFmtId="0" fontId="11" fillId="2" borderId="7" xfId="0" applyFont="1" applyFill="1" applyBorder="1"/>
    <xf numFmtId="0" fontId="13" fillId="2" borderId="8" xfId="0" applyFont="1" applyFill="1" applyBorder="1"/>
    <xf numFmtId="39" fontId="11" fillId="3" borderId="3" xfId="0" applyNumberFormat="1" applyFont="1" applyFill="1" applyBorder="1"/>
    <xf numFmtId="170" fontId="6" fillId="3" borderId="0" xfId="3" applyNumberFormat="1" applyFont="1" applyFill="1" applyBorder="1"/>
    <xf numFmtId="39" fontId="11" fillId="3" borderId="0" xfId="2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44" fontId="7" fillId="3" borderId="11" xfId="2" applyFont="1" applyFill="1" applyBorder="1" applyAlignment="1">
      <alignment horizontal="right"/>
    </xf>
    <xf numFmtId="39" fontId="11" fillId="3" borderId="5" xfId="0" applyNumberFormat="1" applyFont="1" applyFill="1" applyBorder="1"/>
    <xf numFmtId="39" fontId="11" fillId="3" borderId="7" xfId="2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2" applyNumberFormat="1" applyFont="1"/>
    <xf numFmtId="0" fontId="11" fillId="2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0" fontId="5" fillId="2" borderId="7" xfId="3" applyNumberFormat="1" applyFont="1" applyFill="1" applyBorder="1"/>
    <xf numFmtId="0" fontId="13" fillId="2" borderId="8" xfId="0" applyFont="1" applyFill="1" applyBorder="1" applyAlignment="1">
      <alignment horizontal="center"/>
    </xf>
    <xf numFmtId="39" fontId="11" fillId="3" borderId="0" xfId="0" applyNumberFormat="1" applyFont="1" applyFill="1" applyBorder="1" applyAlignment="1">
      <alignment horizontal="left"/>
    </xf>
    <xf numFmtId="37" fontId="10" fillId="3" borderId="0" xfId="0" applyNumberFormat="1" applyFont="1" applyFill="1" applyBorder="1" applyAlignment="1">
      <alignment horizontal="right"/>
    </xf>
    <xf numFmtId="41" fontId="5" fillId="3" borderId="7" xfId="0" applyNumberFormat="1" applyFont="1" applyFill="1" applyBorder="1"/>
    <xf numFmtId="41" fontId="3" fillId="3" borderId="8" xfId="0" applyNumberFormat="1" applyFont="1" applyFill="1" applyBorder="1" applyAlignment="1">
      <alignment horizontal="center"/>
    </xf>
    <xf numFmtId="39" fontId="11" fillId="3" borderId="0" xfId="2" applyNumberFormat="1" applyFont="1" applyFill="1" applyBorder="1" applyAlignment="1">
      <alignment horizontal="left"/>
    </xf>
    <xf numFmtId="169" fontId="7" fillId="3" borderId="11" xfId="2" applyNumberFormat="1" applyFont="1" applyFill="1" applyBorder="1" applyAlignment="1">
      <alignment horizontal="right"/>
    </xf>
    <xf numFmtId="165" fontId="3" fillId="3" borderId="0" xfId="1" applyNumberFormat="1" applyFont="1" applyFill="1" applyBorder="1"/>
    <xf numFmtId="44" fontId="3" fillId="3" borderId="0" xfId="2" applyNumberFormat="1" applyFont="1" applyFill="1" applyBorder="1"/>
    <xf numFmtId="10" fontId="3" fillId="3" borderId="0" xfId="3" applyNumberFormat="1" applyFont="1" applyFill="1" applyBorder="1"/>
    <xf numFmtId="42" fontId="6" fillId="3" borderId="0" xfId="0" applyNumberFormat="1" applyFont="1" applyFill="1" applyBorder="1"/>
    <xf numFmtId="0" fontId="4" fillId="3" borderId="4" xfId="0" applyFont="1" applyFill="1" applyBorder="1"/>
    <xf numFmtId="0" fontId="22" fillId="0" borderId="0" xfId="0" applyFont="1"/>
    <xf numFmtId="0" fontId="22" fillId="2" borderId="1" xfId="0" applyFont="1" applyFill="1" applyBorder="1"/>
    <xf numFmtId="0" fontId="22" fillId="2" borderId="4" xfId="0" applyFont="1" applyFill="1" applyBorder="1"/>
    <xf numFmtId="0" fontId="22" fillId="2" borderId="6" xfId="0" applyFont="1" applyFill="1" applyBorder="1"/>
    <xf numFmtId="0" fontId="22" fillId="3" borderId="1" xfId="0" applyFont="1" applyFill="1" applyBorder="1"/>
    <xf numFmtId="0" fontId="22" fillId="3" borderId="4" xfId="0" applyFont="1" applyFill="1" applyBorder="1"/>
    <xf numFmtId="0" fontId="22" fillId="3" borderId="6" xfId="0" applyFont="1" applyFill="1" applyBorder="1"/>
    <xf numFmtId="0" fontId="23" fillId="3" borderId="0" xfId="0" applyFont="1" applyFill="1" applyBorder="1"/>
    <xf numFmtId="42" fontId="6" fillId="3" borderId="10" xfId="0" applyNumberFormat="1" applyFont="1" applyFill="1" applyBorder="1"/>
    <xf numFmtId="41" fontId="6" fillId="3" borderId="9" xfId="0" applyNumberFormat="1" applyFont="1" applyFill="1" applyBorder="1"/>
    <xf numFmtId="42" fontId="7" fillId="3" borderId="11" xfId="0" applyNumberFormat="1" applyFont="1" applyFill="1" applyBorder="1"/>
    <xf numFmtId="42" fontId="7" fillId="3" borderId="0" xfId="0" applyNumberFormat="1" applyFont="1" applyFill="1" applyBorder="1"/>
    <xf numFmtId="10" fontId="6" fillId="3" borderId="0" xfId="0" applyNumberFormat="1" applyFont="1" applyFill="1" applyBorder="1"/>
    <xf numFmtId="10" fontId="5" fillId="3" borderId="0" xfId="3" applyNumberFormat="1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39" fontId="3" fillId="3" borderId="2" xfId="0" applyNumberFormat="1" applyFont="1" applyFill="1" applyBorder="1" applyAlignment="1">
      <alignment horizontal="left"/>
    </xf>
    <xf numFmtId="39" fontId="11" fillId="3" borderId="2" xfId="0" applyNumberFormat="1" applyFont="1" applyFill="1" applyBorder="1"/>
    <xf numFmtId="39" fontId="11" fillId="3" borderId="9" xfId="0" applyNumberFormat="1" applyFont="1" applyFill="1" applyBorder="1" applyAlignment="1">
      <alignment horizontal="left"/>
    </xf>
    <xf numFmtId="39" fontId="11" fillId="3" borderId="9" xfId="2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39" fontId="7" fillId="3" borderId="9" xfId="0" applyNumberFormat="1" applyFont="1" applyFill="1" applyBorder="1"/>
    <xf numFmtId="2" fontId="11" fillId="3" borderId="9" xfId="0" applyNumberFormat="1" applyFont="1" applyFill="1" applyBorder="1"/>
    <xf numFmtId="1" fontId="11" fillId="3" borderId="9" xfId="0" applyNumberFormat="1" applyFont="1" applyFill="1" applyBorder="1" applyAlignment="1">
      <alignment horizontal="center"/>
    </xf>
    <xf numFmtId="2" fontId="11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39" fontId="11" fillId="3" borderId="0" xfId="0" applyNumberFormat="1" applyFont="1" applyFill="1" applyBorder="1"/>
    <xf numFmtId="2" fontId="11" fillId="3" borderId="0" xfId="0" applyNumberFormat="1" applyFont="1" applyFill="1" applyBorder="1"/>
    <xf numFmtId="10" fontId="6" fillId="3" borderId="9" xfId="3" applyNumberFormat="1" applyFont="1" applyFill="1" applyBorder="1"/>
    <xf numFmtId="9" fontId="6" fillId="3" borderId="10" xfId="3" applyNumberFormat="1" applyFont="1" applyFill="1" applyBorder="1"/>
    <xf numFmtId="2" fontId="11" fillId="3" borderId="10" xfId="0" applyNumberFormat="1" applyFont="1" applyFill="1" applyBorder="1"/>
    <xf numFmtId="164" fontId="7" fillId="3" borderId="9" xfId="2" applyNumberFormat="1" applyFont="1" applyFill="1" applyBorder="1"/>
    <xf numFmtId="10" fontId="6" fillId="3" borderId="13" xfId="3" applyNumberFormat="1" applyFont="1" applyFill="1" applyBorder="1"/>
    <xf numFmtId="164" fontId="7" fillId="3" borderId="13" xfId="2" applyNumberFormat="1" applyFont="1" applyFill="1" applyBorder="1"/>
    <xf numFmtId="164" fontId="7" fillId="3" borderId="10" xfId="2" applyNumberFormat="1" applyFont="1" applyFill="1" applyBorder="1"/>
    <xf numFmtId="39" fontId="11" fillId="3" borderId="7" xfId="0" applyNumberFormat="1" applyFont="1" applyFill="1" applyBorder="1" applyAlignment="1">
      <alignment horizontal="left"/>
    </xf>
    <xf numFmtId="39" fontId="11" fillId="3" borderId="7" xfId="2" applyNumberFormat="1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39" fontId="11" fillId="3" borderId="7" xfId="0" applyNumberFormat="1" applyFont="1" applyFill="1" applyBorder="1"/>
    <xf numFmtId="2" fontId="11" fillId="3" borderId="9" xfId="0" applyNumberFormat="1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39" fontId="3" fillId="3" borderId="0" xfId="0" applyNumberFormat="1" applyFont="1" applyFill="1" applyBorder="1"/>
    <xf numFmtId="42" fontId="5" fillId="2" borderId="0" xfId="0" applyNumberFormat="1" applyFont="1" applyFill="1" applyBorder="1"/>
    <xf numFmtId="43" fontId="6" fillId="3" borderId="0" xfId="3" applyNumberFormat="1" applyFont="1" applyFill="1" applyBorder="1"/>
    <xf numFmtId="43" fontId="7" fillId="3" borderId="11" xfId="2" applyNumberFormat="1" applyFont="1" applyFill="1" applyBorder="1" applyAlignment="1">
      <alignment horizontal="right"/>
    </xf>
    <xf numFmtId="44" fontId="3" fillId="3" borderId="2" xfId="2" applyNumberFormat="1" applyFont="1" applyFill="1" applyBorder="1"/>
    <xf numFmtId="44" fontId="3" fillId="3" borderId="7" xfId="2" applyNumberFormat="1" applyFont="1" applyFill="1" applyBorder="1"/>
    <xf numFmtId="43" fontId="7" fillId="3" borderId="11" xfId="1" applyFont="1" applyFill="1" applyBorder="1"/>
    <xf numFmtId="42" fontId="7" fillId="3" borderId="11" xfId="3" applyNumberFormat="1" applyFont="1" applyFill="1" applyBorder="1"/>
    <xf numFmtId="0" fontId="24" fillId="4" borderId="0" xfId="0" applyFont="1" applyFill="1" applyBorder="1"/>
    <xf numFmtId="42" fontId="25" fillId="2" borderId="0" xfId="1" applyNumberFormat="1" applyFont="1" applyFill="1" applyBorder="1"/>
    <xf numFmtId="41" fontId="5" fillId="2" borderId="9" xfId="1" applyNumberFormat="1" applyFont="1" applyFill="1" applyBorder="1"/>
    <xf numFmtId="41" fontId="25" fillId="2" borderId="9" xfId="1" applyNumberFormat="1" applyFont="1" applyFill="1" applyBorder="1"/>
    <xf numFmtId="42" fontId="25" fillId="2" borderId="10" xfId="1" applyNumberFormat="1" applyFont="1" applyFill="1" applyBorder="1"/>
    <xf numFmtId="42" fontId="25" fillId="3" borderId="0" xfId="0" applyNumberFormat="1" applyFont="1" applyFill="1" applyBorder="1"/>
    <xf numFmtId="42" fontId="6" fillId="3" borderId="9" xfId="0" applyNumberFormat="1" applyFont="1" applyFill="1" applyBorder="1"/>
    <xf numFmtId="172" fontId="3" fillId="0" borderId="0" xfId="0" applyNumberFormat="1" applyFont="1"/>
    <xf numFmtId="43" fontId="5" fillId="2" borderId="0" xfId="0" applyNumberFormat="1" applyFont="1" applyFill="1" applyBorder="1"/>
    <xf numFmtId="164" fontId="25" fillId="3" borderId="0" xfId="2" applyNumberFormat="1" applyFont="1" applyFill="1" applyBorder="1"/>
    <xf numFmtId="37" fontId="25" fillId="3" borderId="0" xfId="0" applyNumberFormat="1" applyFont="1" applyFill="1" applyBorder="1"/>
    <xf numFmtId="37" fontId="25" fillId="3" borderId="9" xfId="0" applyNumberFormat="1" applyFont="1" applyFill="1" applyBorder="1"/>
    <xf numFmtId="167" fontId="27" fillId="3" borderId="0" xfId="3" applyNumberFormat="1" applyFont="1" applyFill="1" applyBorder="1"/>
    <xf numFmtId="166" fontId="25" fillId="3" borderId="9" xfId="1" applyNumberFormat="1" applyFont="1" applyFill="1" applyBorder="1"/>
    <xf numFmtId="164" fontId="25" fillId="3" borderId="10" xfId="2" applyNumberFormat="1" applyFont="1" applyFill="1" applyBorder="1"/>
    <xf numFmtId="0" fontId="25" fillId="3" borderId="0" xfId="0" applyFont="1" applyFill="1" applyBorder="1"/>
    <xf numFmtId="166" fontId="25" fillId="3" borderId="0" xfId="1" applyNumberFormat="1" applyFont="1" applyFill="1" applyBorder="1"/>
    <xf numFmtId="2" fontId="25" fillId="3" borderId="0" xfId="0" applyNumberFormat="1" applyFont="1" applyFill="1" applyBorder="1"/>
    <xf numFmtId="164" fontId="27" fillId="3" borderId="0" xfId="2" applyNumberFormat="1" applyFont="1" applyFill="1" applyBorder="1"/>
    <xf numFmtId="164" fontId="5" fillId="2" borderId="0" xfId="1" applyNumberFormat="1" applyFont="1" applyFill="1" applyBorder="1"/>
    <xf numFmtId="9" fontId="5" fillId="5" borderId="0" xfId="3" applyFont="1" applyFill="1" applyBorder="1"/>
    <xf numFmtId="164" fontId="5" fillId="5" borderId="0" xfId="2" applyNumberFormat="1" applyFont="1" applyFill="1" applyBorder="1"/>
    <xf numFmtId="44" fontId="6" fillId="5" borderId="0" xfId="2" applyNumberFormat="1" applyFont="1" applyFill="1" applyBorder="1"/>
    <xf numFmtId="44" fontId="6" fillId="5" borderId="0" xfId="2" applyFont="1" applyFill="1" applyBorder="1"/>
    <xf numFmtId="166" fontId="5" fillId="5" borderId="0" xfId="1" applyNumberFormat="1" applyFont="1" applyFill="1" applyBorder="1"/>
    <xf numFmtId="164" fontId="6" fillId="5" borderId="0" xfId="2" applyNumberFormat="1" applyFont="1" applyFill="1" applyBorder="1"/>
    <xf numFmtId="166" fontId="5" fillId="5" borderId="9" xfId="1" applyNumberFormat="1" applyFont="1" applyFill="1" applyBorder="1"/>
    <xf numFmtId="166" fontId="6" fillId="5" borderId="0" xfId="1" applyNumberFormat="1" applyFont="1" applyFill="1" applyBorder="1"/>
    <xf numFmtId="166" fontId="6" fillId="5" borderId="0" xfId="2" applyNumberFormat="1" applyFont="1" applyFill="1" applyBorder="1"/>
    <xf numFmtId="0" fontId="1" fillId="0" borderId="0" xfId="4"/>
    <xf numFmtId="0" fontId="2" fillId="0" borderId="0" xfId="4" applyFont="1"/>
    <xf numFmtId="0" fontId="3" fillId="0" borderId="0" xfId="4" applyFont="1"/>
    <xf numFmtId="0" fontId="4" fillId="0" borderId="0" xfId="4" applyFont="1"/>
    <xf numFmtId="0" fontId="4" fillId="0" borderId="0" xfId="4" applyFont="1" applyBorder="1"/>
    <xf numFmtId="0" fontId="3" fillId="0" borderId="0" xfId="4" applyFont="1" applyBorder="1"/>
    <xf numFmtId="0" fontId="1" fillId="5" borderId="1" xfId="4" applyFill="1" applyBorder="1"/>
    <xf numFmtId="0" fontId="4" fillId="5" borderId="2" xfId="4" applyFont="1" applyFill="1" applyBorder="1"/>
    <xf numFmtId="0" fontId="3" fillId="5" borderId="2" xfId="4" applyFont="1" applyFill="1" applyBorder="1"/>
    <xf numFmtId="0" fontId="1" fillId="5" borderId="3" xfId="4" applyFill="1" applyBorder="1"/>
    <xf numFmtId="0" fontId="1" fillId="5" borderId="4" xfId="4" applyFill="1" applyBorder="1"/>
    <xf numFmtId="0" fontId="12" fillId="5" borderId="0" xfId="4" applyFont="1" applyFill="1" applyBorder="1"/>
    <xf numFmtId="0" fontId="3" fillId="5" borderId="0" xfId="4" applyFont="1" applyFill="1" applyBorder="1"/>
    <xf numFmtId="0" fontId="1" fillId="5" borderId="5" xfId="4" applyFill="1" applyBorder="1"/>
    <xf numFmtId="0" fontId="4" fillId="5" borderId="0" xfId="4" applyFont="1" applyFill="1" applyBorder="1"/>
    <xf numFmtId="0" fontId="3" fillId="5" borderId="9" xfId="4" applyFont="1" applyFill="1" applyBorder="1"/>
    <xf numFmtId="164" fontId="6" fillId="5" borderId="9" xfId="2" applyNumberFormat="1" applyFont="1" applyFill="1" applyBorder="1"/>
    <xf numFmtId="42" fontId="5" fillId="5" borderId="0" xfId="1" applyNumberFormat="1" applyFont="1" applyFill="1" applyBorder="1"/>
    <xf numFmtId="42" fontId="25" fillId="5" borderId="0" xfId="1" applyNumberFormat="1" applyFont="1" applyFill="1" applyBorder="1"/>
    <xf numFmtId="42" fontId="25" fillId="5" borderId="0" xfId="2" applyNumberFormat="1" applyFont="1" applyFill="1" applyBorder="1"/>
    <xf numFmtId="42" fontId="25" fillId="5" borderId="0" xfId="4" applyNumberFormat="1" applyFont="1" applyFill="1" applyBorder="1"/>
    <xf numFmtId="41" fontId="25" fillId="5" borderId="0" xfId="4" applyNumberFormat="1" applyFont="1" applyFill="1" applyBorder="1"/>
    <xf numFmtId="166" fontId="3" fillId="5" borderId="0" xfId="4" applyNumberFormat="1" applyFont="1" applyFill="1" applyBorder="1"/>
    <xf numFmtId="43" fontId="25" fillId="5" borderId="0" xfId="1" applyFont="1" applyFill="1" applyBorder="1"/>
    <xf numFmtId="42" fontId="25" fillId="5" borderId="10" xfId="1" applyNumberFormat="1" applyFont="1" applyFill="1" applyBorder="1"/>
    <xf numFmtId="44" fontId="25" fillId="5" borderId="0" xfId="2" applyFont="1" applyFill="1" applyBorder="1"/>
    <xf numFmtId="42" fontId="5" fillId="5" borderId="9" xfId="1" applyNumberFormat="1" applyFont="1" applyFill="1" applyBorder="1"/>
    <xf numFmtId="166" fontId="25" fillId="5" borderId="0" xfId="1" applyNumberFormat="1" applyFont="1" applyFill="1" applyBorder="1"/>
    <xf numFmtId="164" fontId="6" fillId="5" borderId="13" xfId="2" applyNumberFormat="1" applyFont="1" applyFill="1" applyBorder="1"/>
    <xf numFmtId="10" fontId="5" fillId="5" borderId="0" xfId="3" applyNumberFormat="1" applyFont="1" applyFill="1" applyBorder="1"/>
    <xf numFmtId="42" fontId="6" fillId="5" borderId="12" xfId="2" applyNumberFormat="1" applyFont="1" applyFill="1" applyBorder="1"/>
    <xf numFmtId="164" fontId="6" fillId="5" borderId="12" xfId="2" applyNumberFormat="1" applyFont="1" applyFill="1" applyBorder="1"/>
    <xf numFmtId="0" fontId="1" fillId="5" borderId="6" xfId="4" applyFill="1" applyBorder="1"/>
    <xf numFmtId="0" fontId="3" fillId="5" borderId="7" xfId="4" applyFont="1" applyFill="1" applyBorder="1"/>
    <xf numFmtId="0" fontId="1" fillId="5" borderId="8" xfId="4" applyFill="1" applyBorder="1"/>
    <xf numFmtId="0" fontId="1" fillId="3" borderId="1" xfId="4" applyFill="1" applyBorder="1"/>
    <xf numFmtId="0" fontId="3" fillId="3" borderId="2" xfId="4" applyFont="1" applyFill="1" applyBorder="1"/>
    <xf numFmtId="0" fontId="1" fillId="3" borderId="3" xfId="4" applyFill="1" applyBorder="1"/>
    <xf numFmtId="0" fontId="1" fillId="3" borderId="4" xfId="4" applyFill="1" applyBorder="1"/>
    <xf numFmtId="0" fontId="3" fillId="3" borderId="0" xfId="4" applyFont="1" applyFill="1" applyBorder="1"/>
    <xf numFmtId="0" fontId="1" fillId="3" borderId="5" xfId="4" applyFill="1" applyBorder="1"/>
    <xf numFmtId="0" fontId="3" fillId="3" borderId="4" xfId="4" applyFont="1" applyFill="1" applyBorder="1"/>
    <xf numFmtId="0" fontId="3" fillId="3" borderId="9" xfId="4" applyFont="1" applyFill="1" applyBorder="1" applyAlignment="1"/>
    <xf numFmtId="0" fontId="3" fillId="3" borderId="9" xfId="4" applyFont="1" applyFill="1" applyBorder="1"/>
    <xf numFmtId="0" fontId="3" fillId="3" borderId="5" xfId="4" applyFont="1" applyFill="1" applyBorder="1"/>
    <xf numFmtId="41" fontId="5" fillId="3" borderId="0" xfId="4" applyNumberFormat="1" applyFont="1" applyFill="1" applyBorder="1"/>
    <xf numFmtId="41" fontId="8" fillId="3" borderId="0" xfId="4" applyNumberFormat="1" applyFont="1" applyFill="1" applyBorder="1"/>
    <xf numFmtId="166" fontId="3" fillId="3" borderId="0" xfId="4" applyNumberFormat="1" applyFont="1" applyFill="1" applyBorder="1"/>
    <xf numFmtId="43" fontId="25" fillId="3" borderId="0" xfId="1" applyFont="1" applyFill="1" applyBorder="1"/>
    <xf numFmtId="44" fontId="25" fillId="3" borderId="0" xfId="2" applyFont="1" applyFill="1" applyBorder="1"/>
    <xf numFmtId="0" fontId="1" fillId="3" borderId="0" xfId="4" applyFill="1" applyBorder="1"/>
    <xf numFmtId="164" fontId="25" fillId="3" borderId="0" xfId="2" applyNumberFormat="1" applyFont="1" applyFill="1"/>
    <xf numFmtId="43" fontId="7" fillId="3" borderId="0" xfId="4" applyNumberFormat="1" applyFont="1" applyFill="1" applyBorder="1"/>
    <xf numFmtId="0" fontId="1" fillId="3" borderId="6" xfId="4" applyFill="1" applyBorder="1"/>
    <xf numFmtId="0" fontId="1" fillId="3" borderId="7" xfId="4" applyFill="1" applyBorder="1"/>
    <xf numFmtId="0" fontId="3" fillId="3" borderId="7" xfId="4" applyFont="1" applyFill="1" applyBorder="1"/>
    <xf numFmtId="0" fontId="1" fillId="3" borderId="8" xfId="4" applyFill="1" applyBorder="1"/>
    <xf numFmtId="0" fontId="12" fillId="3" borderId="2" xfId="4" applyFont="1" applyFill="1" applyBorder="1"/>
    <xf numFmtId="0" fontId="1" fillId="3" borderId="2" xfId="4" applyFill="1" applyBorder="1"/>
    <xf numFmtId="42" fontId="6" fillId="3" borderId="0" xfId="4" applyNumberFormat="1" applyFont="1" applyFill="1" applyBorder="1"/>
    <xf numFmtId="173" fontId="6" fillId="3" borderId="0" xfId="4" applyNumberFormat="1" applyFont="1" applyFill="1" applyBorder="1"/>
    <xf numFmtId="164" fontId="28" fillId="3" borderId="11" xfId="4" applyNumberFormat="1" applyFont="1" applyFill="1" applyBorder="1"/>
    <xf numFmtId="0" fontId="3" fillId="3" borderId="6" xfId="4" applyFont="1" applyFill="1" applyBorder="1"/>
    <xf numFmtId="0" fontId="3" fillId="3" borderId="8" xfId="4" applyFont="1" applyFill="1" applyBorder="1"/>
    <xf numFmtId="0" fontId="3" fillId="6" borderId="1" xfId="5" applyFont="1" applyFill="1" applyBorder="1"/>
    <xf numFmtId="0" fontId="12" fillId="6" borderId="2" xfId="5" applyFont="1" applyFill="1" applyBorder="1"/>
    <xf numFmtId="0" fontId="3" fillId="6" borderId="2" xfId="5" applyFont="1" applyFill="1" applyBorder="1"/>
    <xf numFmtId="0" fontId="3" fillId="6" borderId="3" xfId="5" applyFont="1" applyFill="1" applyBorder="1"/>
    <xf numFmtId="0" fontId="3" fillId="6" borderId="4" xfId="5" applyFont="1" applyFill="1" applyBorder="1"/>
    <xf numFmtId="0" fontId="3" fillId="6" borderId="0" xfId="5" applyFont="1" applyFill="1" applyBorder="1"/>
    <xf numFmtId="171" fontId="6" fillId="6" borderId="0" xfId="5" applyNumberFormat="1" applyFont="1" applyFill="1" applyBorder="1"/>
    <xf numFmtId="0" fontId="3" fillId="6" borderId="5" xfId="5" applyFont="1" applyFill="1" applyBorder="1"/>
    <xf numFmtId="174" fontId="3" fillId="6" borderId="0" xfId="5" applyNumberFormat="1" applyFont="1" applyFill="1" applyBorder="1"/>
    <xf numFmtId="164" fontId="6" fillId="6" borderId="0" xfId="2" applyNumberFormat="1" applyFont="1" applyFill="1" applyBorder="1"/>
    <xf numFmtId="164" fontId="25" fillId="6" borderId="0" xfId="2" applyNumberFormat="1" applyFont="1" applyFill="1" applyBorder="1"/>
    <xf numFmtId="164" fontId="28" fillId="6" borderId="11" xfId="2" applyNumberFormat="1" applyFont="1" applyFill="1" applyBorder="1"/>
    <xf numFmtId="44" fontId="6" fillId="6" borderId="0" xfId="2" applyNumberFormat="1" applyFont="1" applyFill="1" applyBorder="1"/>
    <xf numFmtId="0" fontId="3" fillId="6" borderId="9" xfId="5" applyFont="1" applyFill="1" applyBorder="1"/>
    <xf numFmtId="164" fontId="6" fillId="6" borderId="9" xfId="2" applyNumberFormat="1" applyFont="1" applyFill="1" applyBorder="1"/>
    <xf numFmtId="44" fontId="6" fillId="6" borderId="0" xfId="2" applyFont="1" applyFill="1" applyBorder="1"/>
    <xf numFmtId="41" fontId="6" fillId="6" borderId="0" xfId="2" applyNumberFormat="1" applyFont="1" applyFill="1" applyBorder="1"/>
    <xf numFmtId="166" fontId="6" fillId="6" borderId="0" xfId="1" applyNumberFormat="1" applyFont="1" applyFill="1" applyBorder="1"/>
    <xf numFmtId="166" fontId="25" fillId="6" borderId="9" xfId="1" applyNumberFormat="1" applyFont="1" applyFill="1" applyBorder="1"/>
    <xf numFmtId="41" fontId="6" fillId="6" borderId="9" xfId="2" applyNumberFormat="1" applyFont="1" applyFill="1" applyBorder="1"/>
    <xf numFmtId="42" fontId="25" fillId="6" borderId="9" xfId="1" applyNumberFormat="1" applyFont="1" applyFill="1" applyBorder="1"/>
    <xf numFmtId="166" fontId="3" fillId="6" borderId="0" xfId="5" applyNumberFormat="1" applyFont="1" applyFill="1" applyBorder="1"/>
    <xf numFmtId="43" fontId="25" fillId="6" borderId="0" xfId="1" applyFont="1" applyFill="1" applyBorder="1"/>
    <xf numFmtId="166" fontId="6" fillId="6" borderId="0" xfId="2" applyNumberFormat="1" applyFont="1" applyFill="1" applyBorder="1"/>
    <xf numFmtId="44" fontId="25" fillId="6" borderId="0" xfId="2" applyFont="1" applyFill="1" applyBorder="1"/>
    <xf numFmtId="166" fontId="6" fillId="6" borderId="9" xfId="1" applyNumberFormat="1" applyFont="1" applyFill="1" applyBorder="1"/>
    <xf numFmtId="164" fontId="6" fillId="6" borderId="13" xfId="2" applyNumberFormat="1" applyFont="1" applyFill="1" applyBorder="1"/>
    <xf numFmtId="164" fontId="6" fillId="6" borderId="12" xfId="2" applyNumberFormat="1" applyFont="1" applyFill="1" applyBorder="1"/>
    <xf numFmtId="0" fontId="3" fillId="6" borderId="6" xfId="5" applyFont="1" applyFill="1" applyBorder="1"/>
    <xf numFmtId="0" fontId="3" fillId="6" borderId="7" xfId="5" applyFont="1" applyFill="1" applyBorder="1"/>
    <xf numFmtId="0" fontId="3" fillId="6" borderId="8" xfId="5" applyFont="1" applyFill="1" applyBorder="1"/>
    <xf numFmtId="0" fontId="3" fillId="5" borderId="0" xfId="0" applyFont="1" applyFill="1" applyBorder="1"/>
    <xf numFmtId="0" fontId="3" fillId="5" borderId="0" xfId="0" applyFont="1" applyFill="1"/>
    <xf numFmtId="0" fontId="0" fillId="5" borderId="0" xfId="0" applyFill="1"/>
    <xf numFmtId="166" fontId="6" fillId="5" borderId="9" xfId="1" applyNumberFormat="1" applyFont="1" applyFill="1" applyBorder="1"/>
    <xf numFmtId="0" fontId="3" fillId="5" borderId="2" xfId="0" applyFont="1" applyFill="1" applyBorder="1"/>
    <xf numFmtId="0" fontId="0" fillId="5" borderId="3" xfId="0" applyFill="1" applyBorder="1"/>
    <xf numFmtId="0" fontId="0" fillId="5" borderId="5" xfId="0" applyFill="1" applyBorder="1"/>
    <xf numFmtId="0" fontId="3" fillId="5" borderId="7" xfId="0" applyFont="1" applyFill="1" applyBorder="1"/>
    <xf numFmtId="0" fontId="0" fillId="5" borderId="8" xfId="0" applyFill="1" applyBorder="1"/>
    <xf numFmtId="41" fontId="25" fillId="5" borderId="0" xfId="1" applyNumberFormat="1" applyFont="1" applyFill="1" applyBorder="1"/>
    <xf numFmtId="164" fontId="6" fillId="5" borderId="10" xfId="2" applyNumberFormat="1" applyFont="1" applyFill="1" applyBorder="1"/>
    <xf numFmtId="0" fontId="0" fillId="5" borderId="1" xfId="0" applyFill="1" applyBorder="1"/>
    <xf numFmtId="0" fontId="4" fillId="5" borderId="2" xfId="0" applyFont="1" applyFill="1" applyBorder="1"/>
    <xf numFmtId="0" fontId="3" fillId="5" borderId="3" xfId="0" applyFont="1" applyFill="1" applyBorder="1"/>
    <xf numFmtId="0" fontId="0" fillId="5" borderId="4" xfId="0" applyFill="1" applyBorder="1"/>
    <xf numFmtId="0" fontId="3" fillId="5" borderId="5" xfId="0" applyFont="1" applyFill="1" applyBorder="1"/>
    <xf numFmtId="41" fontId="5" fillId="5" borderId="0" xfId="1" applyNumberFormat="1" applyFont="1" applyFill="1" applyBorder="1"/>
    <xf numFmtId="42" fontId="25" fillId="5" borderId="10" xfId="0" applyNumberFormat="1" applyFont="1" applyFill="1" applyBorder="1"/>
    <xf numFmtId="41" fontId="25" fillId="5" borderId="9" xfId="1" applyNumberFormat="1" applyFont="1" applyFill="1" applyBorder="1"/>
    <xf numFmtId="0" fontId="0" fillId="5" borderId="6" xfId="0" applyFill="1" applyBorder="1"/>
    <xf numFmtId="0" fontId="3" fillId="5" borderId="8" xfId="0" applyFont="1" applyFill="1" applyBorder="1"/>
    <xf numFmtId="0" fontId="0" fillId="5" borderId="2" xfId="0" applyFill="1" applyBorder="1"/>
    <xf numFmtId="0" fontId="0" fillId="5" borderId="0" xfId="0" applyFill="1" applyBorder="1"/>
    <xf numFmtId="0" fontId="0" fillId="5" borderId="7" xfId="0" applyFill="1" applyBorder="1"/>
    <xf numFmtId="0" fontId="0" fillId="0" borderId="0" xfId="0" applyFill="1" applyBorder="1"/>
    <xf numFmtId="0" fontId="22" fillId="0" borderId="0" xfId="0" applyFont="1" applyFill="1" applyBorder="1"/>
    <xf numFmtId="0" fontId="22" fillId="5" borderId="1" xfId="0" applyFont="1" applyFill="1" applyBorder="1"/>
    <xf numFmtId="0" fontId="22" fillId="5" borderId="4" xfId="0" applyFont="1" applyFill="1" applyBorder="1"/>
    <xf numFmtId="42" fontId="5" fillId="5" borderId="0" xfId="3" applyNumberFormat="1" applyFont="1" applyFill="1" applyBorder="1"/>
    <xf numFmtId="42" fontId="25" fillId="5" borderId="0" xfId="3" applyNumberFormat="1" applyFont="1" applyFill="1" applyBorder="1"/>
    <xf numFmtId="172" fontId="3" fillId="5" borderId="0" xfId="0" applyNumberFormat="1" applyFont="1" applyFill="1" applyBorder="1"/>
    <xf numFmtId="0" fontId="22" fillId="5" borderId="6" xfId="0" applyFont="1" applyFill="1" applyBorder="1"/>
    <xf numFmtId="172" fontId="3" fillId="5" borderId="7" xfId="0" applyNumberFormat="1" applyFont="1" applyFill="1" applyBorder="1"/>
    <xf numFmtId="0" fontId="3" fillId="5" borderId="2" xfId="0" applyFont="1" applyFill="1" applyBorder="1" applyAlignment="1">
      <alignment horizontal="left"/>
    </xf>
    <xf numFmtId="0" fontId="11" fillId="5" borderId="2" xfId="0" applyFont="1" applyFill="1" applyBorder="1"/>
    <xf numFmtId="0" fontId="4" fillId="5" borderId="0" xfId="0" applyFont="1" applyFill="1" applyBorder="1"/>
    <xf numFmtId="0" fontId="3" fillId="5" borderId="0" xfId="0" applyFont="1" applyFill="1" applyBorder="1" applyAlignment="1">
      <alignment horizontal="left"/>
    </xf>
    <xf numFmtId="0" fontId="11" fillId="5" borderId="0" xfId="0" applyFont="1" applyFill="1" applyBorder="1"/>
    <xf numFmtId="0" fontId="3" fillId="5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42" fontId="5" fillId="5" borderId="0" xfId="0" applyNumberFormat="1" applyFont="1" applyFill="1" applyBorder="1"/>
    <xf numFmtId="37" fontId="5" fillId="5" borderId="0" xfId="0" applyNumberFormat="1" applyFont="1" applyFill="1" applyBorder="1"/>
    <xf numFmtId="37" fontId="5" fillId="5" borderId="9" xfId="0" applyNumberFormat="1" applyFont="1" applyFill="1" applyBorder="1"/>
    <xf numFmtId="167" fontId="5" fillId="5" borderId="0" xfId="3" applyNumberFormat="1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3" fillId="5" borderId="7" xfId="0" applyFont="1" applyFill="1" applyBorder="1" applyAlignment="1">
      <alignment horizontal="left"/>
    </xf>
    <xf numFmtId="0" fontId="11" fillId="5" borderId="7" xfId="0" applyFont="1" applyFill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42" fontId="25" fillId="5" borderId="0" xfId="0" applyNumberFormat="1" applyFont="1" applyFill="1" applyBorder="1"/>
    <xf numFmtId="0" fontId="11" fillId="5" borderId="5" xfId="0" applyFont="1" applyFill="1" applyBorder="1"/>
    <xf numFmtId="42" fontId="5" fillId="5" borderId="9" xfId="0" applyNumberFormat="1" applyFont="1" applyFill="1" applyBorder="1"/>
    <xf numFmtId="0" fontId="25" fillId="5" borderId="0" xfId="0" applyFont="1" applyFill="1" applyBorder="1"/>
    <xf numFmtId="42" fontId="25" fillId="5" borderId="12" xfId="0" applyNumberFormat="1" applyFont="1" applyFill="1" applyBorder="1"/>
    <xf numFmtId="44" fontId="3" fillId="3" borderId="0" xfId="0" applyNumberFormat="1" applyFont="1" applyFill="1" applyBorder="1"/>
    <xf numFmtId="175" fontId="5" fillId="2" borderId="0" xfId="2" applyNumberFormat="1" applyFont="1" applyFill="1" applyBorder="1"/>
    <xf numFmtId="41" fontId="6" fillId="3" borderId="0" xfId="0" applyNumberFormat="1" applyFont="1" applyFill="1" applyBorder="1"/>
    <xf numFmtId="44" fontId="0" fillId="0" borderId="0" xfId="0" applyNumberFormat="1"/>
    <xf numFmtId="42" fontId="0" fillId="0" borderId="0" xfId="0" applyNumberFormat="1"/>
    <xf numFmtId="44" fontId="1" fillId="0" borderId="0" xfId="4" applyNumberFormat="1"/>
    <xf numFmtId="42" fontId="1" fillId="0" borderId="0" xfId="4" applyNumberFormat="1"/>
    <xf numFmtId="41" fontId="5" fillId="5" borderId="9" xfId="1" applyNumberFormat="1" applyFont="1" applyFill="1" applyBorder="1"/>
    <xf numFmtId="41" fontId="26" fillId="5" borderId="9" xfId="3" applyNumberFormat="1" applyFont="1" applyFill="1" applyBorder="1"/>
    <xf numFmtId="42" fontId="25" fillId="5" borderId="10" xfId="3" applyNumberFormat="1" applyFont="1" applyFill="1" applyBorder="1"/>
    <xf numFmtId="44" fontId="3" fillId="0" borderId="0" xfId="0" applyNumberFormat="1" applyFont="1"/>
    <xf numFmtId="172" fontId="1" fillId="0" borderId="0" xfId="4" applyNumberFormat="1"/>
    <xf numFmtId="44" fontId="3" fillId="5" borderId="0" xfId="0" applyNumberFormat="1" applyFont="1" applyFill="1" applyBorder="1"/>
    <xf numFmtId="42" fontId="0" fillId="5" borderId="0" xfId="0" applyNumberFormat="1" applyFill="1" applyBorder="1"/>
    <xf numFmtId="0" fontId="3" fillId="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9" fontId="6" fillId="3" borderId="0" xfId="0" applyNumberFormat="1" applyFont="1" applyFill="1" applyBorder="1" applyAlignment="1">
      <alignment horizontal="center"/>
    </xf>
    <xf numFmtId="164" fontId="3" fillId="0" borderId="0" xfId="4" applyNumberFormat="1" applyFont="1"/>
  </cellXfs>
  <cellStyles count="6">
    <cellStyle name="Comma" xfId="1" builtinId="3"/>
    <cellStyle name="Currency" xfId="2" builtinId="4"/>
    <cellStyle name="Normal" xfId="0" builtinId="0"/>
    <cellStyle name="Normal 2" xfId="4"/>
    <cellStyle name="Normal 3" xfId="5"/>
    <cellStyle name="Percent" xfId="3" builtinId="5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91"/>
    <col min="4" max="4" width="42.5703125" style="91" customWidth="1"/>
    <col min="5" max="16384" width="9.140625" style="91"/>
  </cols>
  <sheetData>
    <row r="1" spans="1:29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</row>
    <row r="2" spans="1:29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29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</row>
    <row r="4" spans="1:29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</row>
    <row r="5" spans="1:29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</row>
    <row r="6" spans="1:29" x14ac:dyDescent="0.2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</row>
    <row r="7" spans="1:29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29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29" ht="59.25" x14ac:dyDescent="0.75">
      <c r="A12" s="89"/>
      <c r="B12" s="89"/>
      <c r="C12" s="89"/>
      <c r="D12" s="92" t="s">
        <v>98</v>
      </c>
      <c r="E12" s="89"/>
      <c r="F12" s="93"/>
      <c r="G12" s="89"/>
      <c r="H12" s="89"/>
      <c r="I12" s="89"/>
      <c r="J12" s="89"/>
      <c r="K12" s="89"/>
      <c r="L12" s="89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x14ac:dyDescent="0.2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29" ht="23.25" x14ac:dyDescent="0.35">
      <c r="A14" s="89"/>
      <c r="B14" s="89"/>
      <c r="C14" s="89"/>
      <c r="D14" s="94" t="s">
        <v>72</v>
      </c>
      <c r="E14" s="89"/>
      <c r="F14" s="89"/>
      <c r="G14" s="89"/>
      <c r="H14" s="89"/>
      <c r="I14" s="89"/>
      <c r="J14" s="89"/>
      <c r="K14" s="89"/>
      <c r="L14" s="89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</row>
    <row r="15" spans="1:29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</row>
    <row r="16" spans="1:29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</row>
    <row r="17" spans="1:29" ht="15" x14ac:dyDescent="0.2">
      <c r="A17" s="89"/>
      <c r="B17" s="89"/>
      <c r="C17" s="89"/>
      <c r="D17" s="95"/>
      <c r="E17" s="89"/>
      <c r="F17" s="89"/>
      <c r="G17" s="89"/>
      <c r="H17" s="89"/>
      <c r="I17" s="89"/>
      <c r="J17" s="89"/>
      <c r="K17" s="89"/>
      <c r="L17" s="89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</row>
    <row r="18" spans="1:29" ht="15.75" x14ac:dyDescent="0.25">
      <c r="A18" s="89"/>
      <c r="B18" s="89"/>
      <c r="C18" s="89"/>
      <c r="D18" s="96" t="s">
        <v>73</v>
      </c>
      <c r="E18" s="89"/>
      <c r="F18" s="89"/>
      <c r="G18" s="89"/>
      <c r="H18" s="89"/>
      <c r="I18" s="89"/>
      <c r="J18" s="89"/>
      <c r="K18" s="8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15.75" x14ac:dyDescent="0.25">
      <c r="A19" s="89"/>
      <c r="B19" s="89"/>
      <c r="C19" s="89"/>
      <c r="D19" s="97" t="s">
        <v>74</v>
      </c>
      <c r="E19" s="89"/>
      <c r="F19" s="89"/>
      <c r="G19" s="89"/>
      <c r="H19" s="89"/>
      <c r="I19" s="89"/>
      <c r="J19" s="89"/>
      <c r="K19" s="89"/>
      <c r="L19" s="89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</row>
    <row r="20" spans="1:29" ht="15.75" x14ac:dyDescent="0.25">
      <c r="A20" s="89"/>
      <c r="B20" s="89"/>
      <c r="C20" s="89"/>
      <c r="D20" s="98" t="s">
        <v>75</v>
      </c>
      <c r="E20" s="89"/>
      <c r="F20" s="89"/>
      <c r="G20" s="89"/>
      <c r="H20" s="89"/>
      <c r="I20" s="89"/>
      <c r="J20" s="89"/>
      <c r="K20" s="89"/>
      <c r="L20" s="89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</row>
    <row r="21" spans="1:29" ht="15.75" x14ac:dyDescent="0.25">
      <c r="A21" s="89"/>
      <c r="B21" s="89"/>
      <c r="C21" s="89"/>
      <c r="D21" s="99" t="s">
        <v>76</v>
      </c>
      <c r="E21" s="89"/>
      <c r="F21" s="89"/>
      <c r="G21" s="89"/>
      <c r="H21" s="89"/>
      <c r="I21" s="89"/>
      <c r="J21" s="89"/>
      <c r="K21" s="89"/>
      <c r="L21" s="89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</row>
    <row r="22" spans="1:29" ht="15.75" x14ac:dyDescent="0.25">
      <c r="A22" s="89"/>
      <c r="B22" s="89"/>
      <c r="C22" s="89"/>
      <c r="D22" s="100" t="s">
        <v>77</v>
      </c>
      <c r="E22" s="89"/>
      <c r="F22" s="89"/>
      <c r="G22" s="89"/>
      <c r="H22" s="89"/>
      <c r="I22" s="89"/>
      <c r="J22" s="89"/>
      <c r="K22" s="89"/>
      <c r="L22" s="89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ht="15" x14ac:dyDescent="0.2">
      <c r="A23" s="89"/>
      <c r="B23" s="89"/>
      <c r="C23" s="89"/>
      <c r="D23" s="95"/>
      <c r="E23" s="89"/>
      <c r="F23" s="89"/>
      <c r="G23" s="89"/>
      <c r="H23" s="89"/>
      <c r="I23" s="89"/>
      <c r="J23" s="89"/>
      <c r="K23" s="89"/>
      <c r="L23" s="89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1:29" x14ac:dyDescent="0.2">
      <c r="A24" s="89"/>
      <c r="B24" s="89"/>
      <c r="C24" s="89"/>
      <c r="D24" s="213" t="s">
        <v>177</v>
      </c>
      <c r="E24" s="89"/>
      <c r="F24" s="89"/>
      <c r="G24" s="89"/>
      <c r="H24" s="89"/>
      <c r="I24" s="89"/>
      <c r="J24" s="89"/>
      <c r="K24" s="89"/>
      <c r="L24" s="89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</row>
    <row r="25" spans="1:29" x14ac:dyDescent="0.2">
      <c r="A25" s="89"/>
      <c r="B25" s="89"/>
      <c r="C25" s="89"/>
      <c r="D25" s="213" t="s">
        <v>178</v>
      </c>
      <c r="E25" s="89"/>
      <c r="F25" s="89"/>
      <c r="G25" s="89"/>
      <c r="H25" s="89"/>
      <c r="I25" s="89"/>
      <c r="J25" s="89"/>
      <c r="K25" s="89"/>
      <c r="L25" s="89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</row>
    <row r="26" spans="1:29" x14ac:dyDescent="0.2">
      <c r="A26" s="89"/>
      <c r="B26" s="89"/>
      <c r="C26" s="89"/>
      <c r="D26" s="213" t="s">
        <v>179</v>
      </c>
      <c r="E26" s="89"/>
      <c r="F26" s="89"/>
      <c r="G26" s="89"/>
      <c r="H26" s="89"/>
      <c r="I26" s="89"/>
      <c r="J26" s="89"/>
      <c r="K26" s="89"/>
      <c r="L26" s="89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</row>
    <row r="27" spans="1:29" x14ac:dyDescent="0.2">
      <c r="A27" s="89"/>
      <c r="B27" s="89"/>
      <c r="C27" s="89"/>
      <c r="D27" s="213" t="s">
        <v>180</v>
      </c>
      <c r="E27" s="89"/>
      <c r="F27" s="89"/>
      <c r="G27" s="89"/>
      <c r="H27" s="89"/>
      <c r="I27" s="89"/>
      <c r="J27" s="89"/>
      <c r="K27" s="89"/>
      <c r="L27" s="89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</row>
    <row r="28" spans="1:29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</row>
    <row r="29" spans="1:29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</row>
    <row r="30" spans="1:29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</row>
    <row r="31" spans="1:29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</row>
    <row r="32" spans="1:29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</row>
    <row r="33" spans="1:29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</row>
    <row r="34" spans="1:29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</row>
    <row r="35" spans="1:29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</row>
    <row r="36" spans="1:29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</row>
    <row r="37" spans="1:29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</row>
    <row r="38" spans="1:29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</row>
    <row r="39" spans="1:29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</row>
    <row r="40" spans="1:29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</row>
    <row r="41" spans="1:29" x14ac:dyDescent="0.2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</row>
    <row r="42" spans="1:29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</row>
    <row r="43" spans="1:29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1:29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</row>
    <row r="45" spans="1:29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9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29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</row>
    <row r="48" spans="1:29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</row>
    <row r="49" spans="1:12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</row>
    <row r="50" spans="1:12" x14ac:dyDescent="0.2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</row>
    <row r="51" spans="1:12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</row>
    <row r="52" spans="1:12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</row>
    <row r="53" spans="1:12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</row>
    <row r="54" spans="1:12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</row>
    <row r="55" spans="1:12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</row>
    <row r="56" spans="1:12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</row>
    <row r="57" spans="1:12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</row>
    <row r="58" spans="1:12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1:12" x14ac:dyDescent="0.2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1:12" x14ac:dyDescent="0.2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</row>
    <row r="61" spans="1:12" x14ac:dyDescent="0.2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</row>
    <row r="62" spans="1:12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</row>
    <row r="63" spans="1:12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</row>
    <row r="64" spans="1:12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</row>
    <row r="65" spans="1:12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</row>
    <row r="66" spans="1:12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</row>
    <row r="67" spans="1:12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</row>
    <row r="68" spans="1:12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</row>
    <row r="69" spans="1:12" x14ac:dyDescent="0.2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</row>
    <row r="70" spans="1:12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</row>
    <row r="71" spans="1:12" x14ac:dyDescent="0.2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</row>
    <row r="72" spans="1:12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</row>
    <row r="73" spans="1:12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1:12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</row>
    <row r="75" spans="1:12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  <row r="76" spans="1:12" x14ac:dyDescent="0.2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</row>
    <row r="77" spans="1:12" x14ac:dyDescent="0.2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</row>
    <row r="78" spans="1:12" x14ac:dyDescent="0.2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</row>
    <row r="79" spans="1:12" x14ac:dyDescent="0.2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</row>
    <row r="80" spans="1:12" x14ac:dyDescent="0.2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</row>
    <row r="81" spans="1:12" x14ac:dyDescent="0.2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</row>
    <row r="82" spans="1:12" x14ac:dyDescent="0.2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</row>
    <row r="83" spans="1:12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</row>
    <row r="84" spans="1:12" x14ac:dyDescent="0.2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</row>
    <row r="85" spans="1:12" x14ac:dyDescent="0.2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</row>
    <row r="86" spans="1:12" x14ac:dyDescent="0.2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</row>
    <row r="87" spans="1:12" x14ac:dyDescent="0.2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</row>
    <row r="88" spans="1:12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</row>
    <row r="89" spans="1:12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</row>
    <row r="90" spans="1:12" x14ac:dyDescent="0.2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</row>
    <row r="91" spans="1:12" x14ac:dyDescent="0.2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</row>
    <row r="92" spans="1:12" x14ac:dyDescent="0.2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</row>
    <row r="93" spans="1:12" x14ac:dyDescent="0.2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</row>
    <row r="94" spans="1:12" x14ac:dyDescent="0.2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</row>
    <row r="95" spans="1:12" x14ac:dyDescent="0.2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</row>
    <row r="96" spans="1:12" x14ac:dyDescent="0.2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</row>
    <row r="97" spans="1:12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</row>
    <row r="98" spans="1:12" x14ac:dyDescent="0.2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</row>
    <row r="99" spans="1:12" x14ac:dyDescent="0.2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</row>
    <row r="100" spans="1:12" x14ac:dyDescent="0.2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</row>
    <row r="101" spans="1:12" x14ac:dyDescent="0.2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</row>
    <row r="102" spans="1:12" x14ac:dyDescent="0.2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</row>
    <row r="103" spans="1:12" x14ac:dyDescent="0.2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</row>
    <row r="104" spans="1:12" x14ac:dyDescent="0.2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</row>
    <row r="105" spans="1:12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</row>
    <row r="106" spans="1:12" x14ac:dyDescent="0.2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J50"/>
  <sheetViews>
    <sheetView workbookViewId="0">
      <selection activeCell="C2" sqref="C2"/>
    </sheetView>
  </sheetViews>
  <sheetFormatPr defaultRowHeight="15" x14ac:dyDescent="0.2"/>
  <cols>
    <col min="2" max="2" width="3.140625" style="162" customWidth="1"/>
    <col min="3" max="3" width="22.7109375" customWidth="1"/>
    <col min="4" max="4" width="16.85546875" style="2" bestFit="1" customWidth="1"/>
    <col min="5" max="5" width="3" customWidth="1"/>
    <col min="6" max="6" width="31.7109375" bestFit="1" customWidth="1"/>
    <col min="7" max="7" width="16.85546875" bestFit="1" customWidth="1"/>
    <col min="8" max="8" width="9" bestFit="1" customWidth="1"/>
    <col min="9" max="9" width="12.85546875" bestFit="1" customWidth="1"/>
    <col min="10" max="10" width="3.140625" customWidth="1"/>
  </cols>
  <sheetData>
    <row r="1" spans="2:9" ht="18" x14ac:dyDescent="0.25">
      <c r="C1" s="1" t="s">
        <v>98</v>
      </c>
    </row>
    <row r="2" spans="2:9" x14ac:dyDescent="0.2">
      <c r="C2" s="2" t="s">
        <v>28</v>
      </c>
    </row>
    <row r="4" spans="2:9" x14ac:dyDescent="0.2">
      <c r="C4" s="3" t="s">
        <v>0</v>
      </c>
      <c r="E4" s="2"/>
      <c r="F4" s="2"/>
      <c r="G4" s="2"/>
      <c r="H4" s="2"/>
      <c r="I4" s="2"/>
    </row>
    <row r="5" spans="2:9" ht="15.75" thickBot="1" x14ac:dyDescent="0.25">
      <c r="C5" s="4"/>
      <c r="D5" s="5"/>
      <c r="E5" s="2"/>
      <c r="F5" s="2"/>
      <c r="G5" s="2"/>
      <c r="H5" s="2"/>
      <c r="I5" s="2"/>
    </row>
    <row r="6" spans="2:9" x14ac:dyDescent="0.2">
      <c r="B6" s="163"/>
      <c r="C6" s="7"/>
      <c r="D6" s="8"/>
      <c r="E6" s="9"/>
      <c r="F6" s="2"/>
      <c r="G6" s="2"/>
      <c r="H6" s="2"/>
      <c r="I6" s="2"/>
    </row>
    <row r="7" spans="2:9" x14ac:dyDescent="0.2">
      <c r="B7" s="164"/>
      <c r="C7" s="11" t="s">
        <v>132</v>
      </c>
      <c r="D7" s="104">
        <v>0.12</v>
      </c>
      <c r="E7" s="12"/>
      <c r="F7" s="2"/>
      <c r="G7" s="2"/>
      <c r="H7" s="2"/>
      <c r="I7" s="2"/>
    </row>
    <row r="8" spans="2:9" x14ac:dyDescent="0.2">
      <c r="B8" s="164"/>
      <c r="C8" s="11" t="s">
        <v>118</v>
      </c>
      <c r="D8" s="110">
        <v>320000000</v>
      </c>
      <c r="E8" s="12"/>
      <c r="F8" s="2"/>
      <c r="G8" s="2"/>
      <c r="H8" s="2"/>
      <c r="I8" s="2"/>
    </row>
    <row r="9" spans="2:9" x14ac:dyDescent="0.2">
      <c r="B9" s="164"/>
      <c r="C9" s="11" t="s">
        <v>119</v>
      </c>
      <c r="D9" s="104">
        <v>0.2</v>
      </c>
      <c r="E9" s="12"/>
      <c r="F9" s="2"/>
      <c r="G9" s="2"/>
      <c r="H9" s="2"/>
      <c r="I9" s="2"/>
    </row>
    <row r="10" spans="2:9" x14ac:dyDescent="0.2">
      <c r="B10" s="164"/>
      <c r="C10" s="11" t="s">
        <v>120</v>
      </c>
      <c r="D10" s="104">
        <v>0.7</v>
      </c>
      <c r="E10" s="12"/>
      <c r="F10" s="2"/>
      <c r="G10" s="2"/>
      <c r="H10" s="2"/>
      <c r="I10" s="2"/>
    </row>
    <row r="11" spans="2:9" x14ac:dyDescent="0.2">
      <c r="B11" s="164"/>
      <c r="C11" s="11" t="s">
        <v>121</v>
      </c>
      <c r="D11" s="104">
        <v>0.15</v>
      </c>
      <c r="E11" s="12"/>
      <c r="F11" s="2"/>
      <c r="G11" s="2"/>
      <c r="H11" s="2"/>
      <c r="I11" s="2"/>
    </row>
    <row r="12" spans="2:9" x14ac:dyDescent="0.2">
      <c r="B12" s="164"/>
      <c r="C12" s="11" t="s">
        <v>27</v>
      </c>
      <c r="D12" s="104">
        <v>0.3</v>
      </c>
      <c r="E12" s="12"/>
      <c r="F12" s="2"/>
      <c r="G12" s="2"/>
      <c r="H12" s="2"/>
      <c r="I12" s="2"/>
    </row>
    <row r="13" spans="2:9" x14ac:dyDescent="0.2">
      <c r="B13" s="164"/>
      <c r="C13" s="11" t="s">
        <v>26</v>
      </c>
      <c r="D13" s="110">
        <v>110000000</v>
      </c>
      <c r="E13" s="12"/>
      <c r="F13" s="2"/>
      <c r="G13" s="2"/>
      <c r="H13" s="2"/>
      <c r="I13" s="2"/>
    </row>
    <row r="14" spans="2:9" x14ac:dyDescent="0.2">
      <c r="B14" s="164"/>
      <c r="C14" s="11" t="s">
        <v>122</v>
      </c>
      <c r="D14" s="110">
        <v>45000000</v>
      </c>
      <c r="E14" s="12"/>
      <c r="F14" s="2"/>
      <c r="G14" s="2"/>
      <c r="H14" s="2"/>
      <c r="I14" s="2"/>
    </row>
    <row r="15" spans="2:9" x14ac:dyDescent="0.2">
      <c r="B15" s="164"/>
      <c r="C15" s="11" t="s">
        <v>47</v>
      </c>
      <c r="D15" s="104">
        <v>0.09</v>
      </c>
      <c r="E15" s="12"/>
      <c r="F15" s="2"/>
      <c r="G15" s="2"/>
      <c r="H15" s="2"/>
      <c r="I15" s="2"/>
    </row>
    <row r="16" spans="2:9" ht="15.75" thickBot="1" x14ac:dyDescent="0.25">
      <c r="B16" s="165"/>
      <c r="C16" s="14"/>
      <c r="D16" s="14"/>
      <c r="E16" s="15"/>
      <c r="F16" s="2"/>
      <c r="G16" s="2"/>
      <c r="H16" s="2"/>
      <c r="I16" s="2"/>
    </row>
    <row r="17" spans="2:10" x14ac:dyDescent="0.2">
      <c r="C17" s="2"/>
      <c r="E17" s="2"/>
      <c r="F17" s="2"/>
      <c r="G17" s="2"/>
      <c r="H17" s="2"/>
      <c r="I17" s="2"/>
    </row>
    <row r="18" spans="2:10" x14ac:dyDescent="0.2">
      <c r="C18" s="3" t="s">
        <v>2</v>
      </c>
      <c r="E18" s="2"/>
      <c r="F18" s="2"/>
      <c r="G18" s="2"/>
      <c r="H18" s="2"/>
      <c r="I18" s="2"/>
    </row>
    <row r="19" spans="2:10" ht="15.75" thickBot="1" x14ac:dyDescent="0.25">
      <c r="C19" s="4"/>
      <c r="E19" s="2"/>
      <c r="F19" s="2"/>
      <c r="G19" s="2"/>
      <c r="H19" s="2"/>
      <c r="I19" s="2"/>
    </row>
    <row r="20" spans="2:10" x14ac:dyDescent="0.2">
      <c r="B20" s="166"/>
      <c r="C20" s="17"/>
      <c r="D20" s="17"/>
      <c r="E20" s="17"/>
      <c r="F20" s="17"/>
      <c r="G20" s="17"/>
      <c r="H20" s="17"/>
      <c r="I20" s="17"/>
      <c r="J20" s="18"/>
    </row>
    <row r="21" spans="2:10" x14ac:dyDescent="0.2">
      <c r="B21" s="161" t="s">
        <v>124</v>
      </c>
      <c r="C21" s="20" t="s">
        <v>53</v>
      </c>
      <c r="D21" s="160">
        <f>D8/(1+D7)</f>
        <v>285714285.71428567</v>
      </c>
      <c r="E21" s="20"/>
      <c r="F21" s="20"/>
      <c r="G21" s="20"/>
      <c r="H21" s="20"/>
      <c r="I21" s="20"/>
      <c r="J21" s="23"/>
    </row>
    <row r="22" spans="2:10" x14ac:dyDescent="0.2">
      <c r="B22" s="167"/>
      <c r="C22" s="20" t="s">
        <v>123</v>
      </c>
      <c r="D22" s="160">
        <f>D8-D21</f>
        <v>34285714.285714328</v>
      </c>
      <c r="E22" s="20"/>
      <c r="F22" s="20"/>
      <c r="G22" s="20"/>
      <c r="H22" s="20"/>
      <c r="I22" s="20"/>
      <c r="J22" s="23"/>
    </row>
    <row r="23" spans="2:10" x14ac:dyDescent="0.2">
      <c r="B23" s="167"/>
      <c r="C23" s="20"/>
      <c r="D23" s="20"/>
      <c r="E23" s="20"/>
      <c r="F23" s="20"/>
      <c r="G23" s="20"/>
      <c r="H23" s="20"/>
      <c r="I23" s="20"/>
      <c r="J23" s="23"/>
    </row>
    <row r="24" spans="2:10" x14ac:dyDescent="0.2">
      <c r="B24" s="167"/>
      <c r="C24" s="169" t="s">
        <v>6</v>
      </c>
      <c r="D24" s="20"/>
      <c r="E24" s="20"/>
      <c r="F24" s="169" t="s">
        <v>125</v>
      </c>
      <c r="G24" s="20"/>
      <c r="H24" s="20"/>
      <c r="I24" s="20"/>
      <c r="J24" s="23"/>
    </row>
    <row r="25" spans="2:10" x14ac:dyDescent="0.2">
      <c r="B25" s="167"/>
      <c r="C25" s="20" t="s">
        <v>3</v>
      </c>
      <c r="D25" s="160">
        <f>D21*D9</f>
        <v>57142857.142857134</v>
      </c>
      <c r="E25" s="20"/>
      <c r="F25" s="20" t="s">
        <v>133</v>
      </c>
      <c r="G25" s="160">
        <f>D21*D11</f>
        <v>42857142.857142851</v>
      </c>
      <c r="H25" s="20"/>
      <c r="I25" s="20"/>
      <c r="J25" s="23"/>
    </row>
    <row r="26" spans="2:10" x14ac:dyDescent="0.2">
      <c r="B26" s="167"/>
      <c r="C26" s="35"/>
      <c r="D26" s="55"/>
      <c r="E26" s="20"/>
      <c r="F26" s="20" t="s">
        <v>26</v>
      </c>
      <c r="G26" s="160">
        <f>D13</f>
        <v>110000000</v>
      </c>
      <c r="H26" s="20"/>
      <c r="I26" s="20"/>
      <c r="J26" s="23"/>
    </row>
    <row r="27" spans="2:10" x14ac:dyDescent="0.2">
      <c r="B27" s="167"/>
      <c r="C27" s="20"/>
      <c r="D27" s="55"/>
      <c r="E27" s="20"/>
      <c r="F27" s="20"/>
      <c r="G27" s="55"/>
      <c r="H27" s="20"/>
      <c r="I27" s="20"/>
      <c r="J27" s="23"/>
    </row>
    <row r="28" spans="2:10" x14ac:dyDescent="0.2">
      <c r="B28" s="167"/>
      <c r="C28" s="20" t="s">
        <v>25</v>
      </c>
      <c r="D28" s="171">
        <f>D21*D10</f>
        <v>199999999.99999997</v>
      </c>
      <c r="E28" s="20"/>
      <c r="F28" s="20" t="s">
        <v>36</v>
      </c>
      <c r="G28" s="160">
        <f>D14</f>
        <v>45000000</v>
      </c>
      <c r="H28" s="20"/>
      <c r="I28" s="20"/>
      <c r="J28" s="23"/>
    </row>
    <row r="29" spans="2:10" x14ac:dyDescent="0.2">
      <c r="B29" s="167"/>
      <c r="C29" s="20"/>
      <c r="D29" s="55"/>
      <c r="E29" s="20"/>
      <c r="F29" s="20" t="s">
        <v>136</v>
      </c>
      <c r="G29" s="171">
        <f>D32-G28-G26-G25</f>
        <v>59285714.285714254</v>
      </c>
      <c r="H29" s="20"/>
      <c r="I29" s="20"/>
      <c r="J29" s="23"/>
    </row>
    <row r="30" spans="2:10" x14ac:dyDescent="0.2">
      <c r="B30" s="167"/>
      <c r="C30" s="20"/>
      <c r="D30" s="55"/>
      <c r="E30" s="20"/>
      <c r="F30" s="20" t="s">
        <v>127</v>
      </c>
      <c r="G30" s="160">
        <f>SUM(G28:G29)</f>
        <v>104285714.28571425</v>
      </c>
      <c r="H30" s="20"/>
      <c r="I30" s="20"/>
      <c r="J30" s="23"/>
    </row>
    <row r="31" spans="2:10" x14ac:dyDescent="0.2">
      <c r="B31" s="167"/>
      <c r="C31" s="20"/>
      <c r="D31" s="55"/>
      <c r="E31" s="20"/>
      <c r="F31" s="20"/>
      <c r="G31" s="55"/>
      <c r="H31" s="20"/>
      <c r="I31" s="20"/>
      <c r="J31" s="23"/>
    </row>
    <row r="32" spans="2:10" ht="15.75" thickBot="1" x14ac:dyDescent="0.25">
      <c r="B32" s="167"/>
      <c r="C32" s="20" t="s">
        <v>40</v>
      </c>
      <c r="D32" s="170">
        <f>D25+D28</f>
        <v>257142857.1428571</v>
      </c>
      <c r="E32" s="20"/>
      <c r="F32" s="20" t="s">
        <v>128</v>
      </c>
      <c r="G32" s="170">
        <f>G26+G25+G30</f>
        <v>257142857.14285713</v>
      </c>
      <c r="H32" s="20"/>
      <c r="I32" s="20"/>
      <c r="J32" s="23"/>
    </row>
    <row r="33" spans="2:10" ht="15.75" thickTop="1" x14ac:dyDescent="0.2">
      <c r="B33" s="167"/>
      <c r="C33" s="20"/>
      <c r="D33" s="20"/>
      <c r="E33" s="20"/>
      <c r="F33" s="20"/>
      <c r="G33" s="20"/>
      <c r="H33" s="20"/>
      <c r="I33" s="20"/>
      <c r="J33" s="23"/>
    </row>
    <row r="34" spans="2:10" ht="15.75" x14ac:dyDescent="0.25">
      <c r="B34" s="161" t="s">
        <v>129</v>
      </c>
      <c r="C34" s="20" t="s">
        <v>130</v>
      </c>
      <c r="D34" s="172">
        <f>((D10+D9)*D22)-(D11*D22)-((D15*D8)*(1-D12))</f>
        <v>5554285.7142857425</v>
      </c>
      <c r="E34" s="20"/>
      <c r="F34" s="20"/>
      <c r="G34" s="20"/>
      <c r="H34" s="20"/>
      <c r="I34" s="20"/>
      <c r="J34" s="23"/>
    </row>
    <row r="35" spans="2:10" x14ac:dyDescent="0.2">
      <c r="B35" s="167"/>
      <c r="C35" s="20"/>
      <c r="D35" s="20"/>
      <c r="E35" s="20"/>
      <c r="F35" s="20"/>
      <c r="G35" s="20"/>
      <c r="H35" s="20"/>
      <c r="I35" s="20"/>
      <c r="J35" s="23"/>
    </row>
    <row r="36" spans="2:10" x14ac:dyDescent="0.2">
      <c r="B36" s="161" t="s">
        <v>131</v>
      </c>
      <c r="C36" s="20" t="s">
        <v>10</v>
      </c>
      <c r="D36" s="218">
        <f>D15*D8</f>
        <v>28800000</v>
      </c>
      <c r="E36" s="20"/>
      <c r="F36" s="20"/>
      <c r="G36" s="20"/>
      <c r="H36" s="20"/>
      <c r="I36" s="20"/>
      <c r="J36" s="23"/>
    </row>
    <row r="37" spans="2:10" x14ac:dyDescent="0.2">
      <c r="B37" s="167"/>
      <c r="C37" s="20" t="s">
        <v>188</v>
      </c>
      <c r="D37" s="218">
        <f>D36*(1-D12)</f>
        <v>20160000</v>
      </c>
      <c r="E37" s="20"/>
      <c r="F37" s="20"/>
      <c r="G37" s="20"/>
      <c r="H37" s="20"/>
      <c r="I37" s="20"/>
      <c r="J37" s="23"/>
    </row>
    <row r="38" spans="2:10" x14ac:dyDescent="0.2">
      <c r="B38" s="167"/>
      <c r="C38" s="20"/>
      <c r="D38" s="20"/>
      <c r="E38" s="20"/>
      <c r="F38" s="20"/>
      <c r="G38" s="20"/>
      <c r="H38" s="20"/>
      <c r="I38" s="20"/>
      <c r="J38" s="23"/>
    </row>
    <row r="39" spans="2:10" x14ac:dyDescent="0.2">
      <c r="B39" s="161"/>
      <c r="C39" s="169" t="s">
        <v>6</v>
      </c>
      <c r="D39" s="20"/>
      <c r="E39" s="20"/>
      <c r="F39" s="169" t="s">
        <v>125</v>
      </c>
      <c r="G39" s="20"/>
      <c r="H39" s="20"/>
      <c r="I39" s="20"/>
      <c r="J39" s="23"/>
    </row>
    <row r="40" spans="2:10" x14ac:dyDescent="0.2">
      <c r="B40" s="167"/>
      <c r="C40" s="20" t="s">
        <v>3</v>
      </c>
      <c r="D40" s="160">
        <f>D25*(1+D7)</f>
        <v>64000000</v>
      </c>
      <c r="E40" s="20"/>
      <c r="F40" s="20" t="s">
        <v>133</v>
      </c>
      <c r="G40" s="160">
        <f>G25*(1+D7)</f>
        <v>48000000</v>
      </c>
      <c r="H40" s="20"/>
      <c r="I40" s="20"/>
      <c r="J40" s="23"/>
    </row>
    <row r="41" spans="2:10" x14ac:dyDescent="0.2">
      <c r="B41" s="167"/>
      <c r="C41" s="35"/>
      <c r="D41" s="55"/>
      <c r="E41" s="20"/>
      <c r="F41" s="20" t="s">
        <v>26</v>
      </c>
      <c r="G41" s="160">
        <f>D13</f>
        <v>110000000</v>
      </c>
      <c r="H41" s="20"/>
      <c r="I41" s="20"/>
      <c r="J41" s="23"/>
    </row>
    <row r="42" spans="2:10" x14ac:dyDescent="0.2">
      <c r="B42" s="167"/>
      <c r="C42" s="20"/>
      <c r="D42" s="55"/>
      <c r="E42" s="20"/>
      <c r="F42" s="20"/>
      <c r="G42" s="55"/>
      <c r="H42" s="20"/>
      <c r="I42" s="20"/>
      <c r="J42" s="23"/>
    </row>
    <row r="43" spans="2:10" s="2" customFormat="1" x14ac:dyDescent="0.2">
      <c r="B43" s="167"/>
      <c r="C43" s="20" t="s">
        <v>25</v>
      </c>
      <c r="D43" s="219">
        <f>D28*(1+D7)</f>
        <v>224000000</v>
      </c>
      <c r="E43" s="20"/>
      <c r="F43" s="20" t="s">
        <v>36</v>
      </c>
      <c r="G43" s="160">
        <f>D14</f>
        <v>45000000</v>
      </c>
      <c r="H43" s="54"/>
      <c r="I43" s="157"/>
      <c r="J43" s="28"/>
    </row>
    <row r="44" spans="2:10" x14ac:dyDescent="0.2">
      <c r="B44" s="167"/>
      <c r="C44" s="20"/>
      <c r="D44" s="55"/>
      <c r="E44" s="20"/>
      <c r="F44" s="20" t="s">
        <v>136</v>
      </c>
      <c r="G44" s="171">
        <f>G29+((D15*D8)*(1-D12))</f>
        <v>79445714.285714254</v>
      </c>
      <c r="H44" s="158"/>
      <c r="I44" s="20"/>
      <c r="J44" s="23"/>
    </row>
    <row r="45" spans="2:10" s="2" customFormat="1" x14ac:dyDescent="0.2">
      <c r="B45" s="167"/>
      <c r="C45" s="20"/>
      <c r="D45" s="55"/>
      <c r="E45" s="20"/>
      <c r="F45" s="20" t="s">
        <v>127</v>
      </c>
      <c r="G45" s="160">
        <f>SUM(G43:G44)</f>
        <v>124445714.28571425</v>
      </c>
      <c r="H45" s="159"/>
      <c r="I45" s="20"/>
      <c r="J45" s="28"/>
    </row>
    <row r="46" spans="2:10" s="2" customFormat="1" x14ac:dyDescent="0.2">
      <c r="B46" s="167"/>
      <c r="C46" s="20"/>
      <c r="D46" s="55"/>
      <c r="E46" s="20"/>
      <c r="F46" s="20"/>
      <c r="G46" s="55"/>
      <c r="H46" s="20"/>
      <c r="I46" s="20"/>
      <c r="J46" s="28"/>
    </row>
    <row r="47" spans="2:10" s="2" customFormat="1" ht="15.75" thickBot="1" x14ac:dyDescent="0.25">
      <c r="B47" s="167"/>
      <c r="C47" s="20" t="s">
        <v>40</v>
      </c>
      <c r="D47" s="170">
        <f>D40+D43</f>
        <v>288000000</v>
      </c>
      <c r="E47" s="20"/>
      <c r="F47" s="20" t="s">
        <v>128</v>
      </c>
      <c r="G47" s="170">
        <f>G41+G40+G45</f>
        <v>282445714.28571427</v>
      </c>
      <c r="H47" s="158"/>
      <c r="I47" s="158"/>
      <c r="J47" s="28"/>
    </row>
    <row r="48" spans="2:10" s="2" customFormat="1" ht="15.75" thickTop="1" x14ac:dyDescent="0.2">
      <c r="B48" s="167"/>
      <c r="C48" s="20"/>
      <c r="D48" s="160"/>
      <c r="E48" s="20"/>
      <c r="F48" s="20"/>
      <c r="G48" s="160"/>
      <c r="H48" s="158"/>
      <c r="I48" s="158"/>
      <c r="J48" s="28"/>
    </row>
    <row r="49" spans="2:10" s="2" customFormat="1" ht="15.75" x14ac:dyDescent="0.25">
      <c r="B49" s="167"/>
      <c r="C49" s="20" t="s">
        <v>130</v>
      </c>
      <c r="D49" s="172">
        <f>D47-G47</f>
        <v>5554285.7142857313</v>
      </c>
      <c r="E49" s="20"/>
      <c r="F49" s="20"/>
      <c r="G49" s="160"/>
      <c r="H49" s="158"/>
      <c r="I49" s="158"/>
      <c r="J49" s="28"/>
    </row>
    <row r="50" spans="2:10" ht="15.75" thickBot="1" x14ac:dyDescent="0.25">
      <c r="B50" s="168"/>
      <c r="C50" s="31"/>
      <c r="D50" s="33"/>
      <c r="E50" s="31"/>
      <c r="F50" s="31"/>
      <c r="G50" s="31"/>
      <c r="H50" s="31"/>
      <c r="I50" s="31"/>
      <c r="J50" s="32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3"/>
  <dimension ref="B1:H1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5" bestFit="1" customWidth="1"/>
    <col min="4" max="4" width="15.7109375" customWidth="1"/>
    <col min="5" max="5" width="3.7109375" style="2" customWidth="1"/>
    <col min="6" max="6" width="9.140625" customWidth="1"/>
    <col min="7" max="7" width="9.140625" style="2" customWidth="1"/>
    <col min="8" max="8" width="9.140625" style="2"/>
    <col min="9" max="9" width="9.140625" customWidth="1"/>
  </cols>
  <sheetData>
    <row r="1" spans="2:8" ht="18" x14ac:dyDescent="0.25">
      <c r="C1" s="1" t="s">
        <v>98</v>
      </c>
    </row>
    <row r="2" spans="2:8" x14ac:dyDescent="0.2">
      <c r="C2" s="2" t="s">
        <v>29</v>
      </c>
    </row>
    <row r="4" spans="2:8" x14ac:dyDescent="0.2">
      <c r="C4" s="3" t="s">
        <v>0</v>
      </c>
      <c r="D4" s="2"/>
      <c r="F4" s="2"/>
    </row>
    <row r="5" spans="2:8" ht="15.75" thickBot="1" x14ac:dyDescent="0.25">
      <c r="C5" s="4"/>
      <c r="D5" s="2"/>
      <c r="F5" s="2"/>
    </row>
    <row r="6" spans="2:8" x14ac:dyDescent="0.2">
      <c r="B6" s="6"/>
      <c r="C6" s="7"/>
      <c r="D6" s="129"/>
      <c r="E6" s="130"/>
      <c r="F6" s="45"/>
      <c r="H6"/>
    </row>
    <row r="7" spans="2:8" x14ac:dyDescent="0.2">
      <c r="B7" s="10"/>
      <c r="C7" s="11" t="s">
        <v>155</v>
      </c>
      <c r="D7" s="108">
        <v>0.121</v>
      </c>
      <c r="E7" s="131"/>
      <c r="F7" s="45"/>
      <c r="H7"/>
    </row>
    <row r="8" spans="2:8" x14ac:dyDescent="0.2">
      <c r="B8" s="10"/>
      <c r="C8" s="11" t="s">
        <v>27</v>
      </c>
      <c r="D8" s="104">
        <v>0.25</v>
      </c>
      <c r="E8" s="131"/>
      <c r="F8" s="45"/>
      <c r="H8"/>
    </row>
    <row r="9" spans="2:8" ht="15.75" thickBot="1" x14ac:dyDescent="0.25">
      <c r="B9" s="13"/>
      <c r="C9" s="14"/>
      <c r="D9" s="133"/>
      <c r="E9" s="134"/>
      <c r="F9" s="45"/>
      <c r="H9"/>
    </row>
    <row r="10" spans="2:8" x14ac:dyDescent="0.2">
      <c r="C10" s="2"/>
      <c r="D10" s="2"/>
      <c r="F10" s="2"/>
    </row>
    <row r="11" spans="2:8" x14ac:dyDescent="0.2">
      <c r="C11" s="3" t="s">
        <v>2</v>
      </c>
      <c r="D11" s="2"/>
      <c r="F11" s="2"/>
    </row>
    <row r="12" spans="2:8" ht="15.75" thickBot="1" x14ac:dyDescent="0.25">
      <c r="C12" s="4"/>
      <c r="D12" s="2"/>
      <c r="F12" s="2"/>
    </row>
    <row r="13" spans="2:8" x14ac:dyDescent="0.2">
      <c r="B13" s="16"/>
      <c r="C13" s="17"/>
      <c r="D13" s="118"/>
      <c r="E13" s="135"/>
      <c r="G13"/>
      <c r="H13"/>
    </row>
    <row r="14" spans="2:8" x14ac:dyDescent="0.2">
      <c r="B14" s="19"/>
      <c r="C14" s="20" t="s">
        <v>141</v>
      </c>
      <c r="D14" s="46">
        <f>1-D8</f>
        <v>0.75</v>
      </c>
      <c r="E14" s="140"/>
      <c r="G14"/>
      <c r="H14"/>
    </row>
    <row r="15" spans="2:8" x14ac:dyDescent="0.2">
      <c r="B15" s="19"/>
      <c r="C15" s="20"/>
      <c r="D15" s="205"/>
      <c r="E15" s="140"/>
      <c r="G15"/>
      <c r="H15"/>
    </row>
    <row r="16" spans="2:8" ht="15.75" x14ac:dyDescent="0.25">
      <c r="B16" s="19"/>
      <c r="C16" s="58" t="s">
        <v>56</v>
      </c>
      <c r="D16" s="76">
        <f>(D7*D14)/(1-(D7*D14))</f>
        <v>9.980753368160572E-2</v>
      </c>
      <c r="E16" s="23"/>
      <c r="G16"/>
      <c r="H16"/>
    </row>
    <row r="17" spans="2:8" ht="15.75" thickBot="1" x14ac:dyDescent="0.25">
      <c r="B17" s="30"/>
      <c r="C17" s="33"/>
      <c r="D17" s="141"/>
      <c r="E17" s="142"/>
      <c r="G17"/>
      <c r="H17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11"/>
  <dimension ref="B1:K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7109375" customWidth="1"/>
    <col min="4" max="4" width="11.85546875" customWidth="1"/>
    <col min="5" max="5" width="14.5703125" style="2" customWidth="1"/>
    <col min="6" max="6" width="3.140625" style="143" customWidth="1"/>
    <col min="7" max="7" width="9.140625" style="2" customWidth="1"/>
    <col min="8" max="8" width="9.140625" style="144" customWidth="1"/>
    <col min="9" max="11" width="9.140625" style="145" customWidth="1"/>
    <col min="12" max="12" width="9.140625" customWidth="1"/>
  </cols>
  <sheetData>
    <row r="1" spans="2:8" ht="18" x14ac:dyDescent="0.25">
      <c r="C1" s="1" t="s">
        <v>98</v>
      </c>
    </row>
    <row r="2" spans="2:8" x14ac:dyDescent="0.2">
      <c r="C2" s="2" t="s">
        <v>41</v>
      </c>
    </row>
    <row r="4" spans="2:8" x14ac:dyDescent="0.2">
      <c r="C4" s="3" t="s">
        <v>0</v>
      </c>
      <c r="D4" s="2"/>
      <c r="F4" s="144"/>
    </row>
    <row r="5" spans="2:8" ht="15.75" thickBot="1" x14ac:dyDescent="0.25">
      <c r="C5" s="4"/>
      <c r="D5" s="5"/>
      <c r="F5" s="144"/>
    </row>
    <row r="6" spans="2:8" x14ac:dyDescent="0.2">
      <c r="B6" s="6"/>
      <c r="C6" s="7"/>
      <c r="D6" s="8"/>
      <c r="E6" s="8"/>
      <c r="F6" s="146"/>
      <c r="G6" s="45"/>
      <c r="H6" s="147"/>
    </row>
    <row r="7" spans="2:8" x14ac:dyDescent="0.2">
      <c r="B7" s="10"/>
      <c r="C7" s="11" t="s">
        <v>105</v>
      </c>
      <c r="D7" s="115"/>
      <c r="E7" s="108"/>
      <c r="F7" s="148"/>
      <c r="G7" s="45"/>
      <c r="H7" s="147"/>
    </row>
    <row r="8" spans="2:8" x14ac:dyDescent="0.2">
      <c r="B8" s="10"/>
      <c r="C8" s="11" t="s">
        <v>106</v>
      </c>
      <c r="D8" s="104"/>
      <c r="E8" s="108">
        <v>0.35</v>
      </c>
      <c r="F8" s="148"/>
      <c r="G8" s="45"/>
      <c r="H8" s="147"/>
    </row>
    <row r="9" spans="2:8" x14ac:dyDescent="0.2">
      <c r="B9" s="10"/>
      <c r="C9" s="11" t="s">
        <v>96</v>
      </c>
      <c r="D9" s="108"/>
      <c r="E9" s="108">
        <v>0.08</v>
      </c>
      <c r="F9" s="148"/>
      <c r="G9" s="45"/>
      <c r="H9" s="147"/>
    </row>
    <row r="10" spans="2:8" x14ac:dyDescent="0.2">
      <c r="B10" s="10"/>
      <c r="C10" s="11" t="s">
        <v>107</v>
      </c>
      <c r="D10" s="108"/>
      <c r="E10" s="108"/>
      <c r="F10" s="148"/>
      <c r="G10" s="45"/>
      <c r="H10" s="147"/>
    </row>
    <row r="11" spans="2:8" x14ac:dyDescent="0.2">
      <c r="B11" s="10"/>
      <c r="C11" s="11" t="s">
        <v>106</v>
      </c>
      <c r="D11" s="108"/>
      <c r="E11" s="108">
        <v>0.45</v>
      </c>
      <c r="F11" s="148"/>
      <c r="G11" s="45"/>
      <c r="H11" s="147"/>
    </row>
    <row r="12" spans="2:8" x14ac:dyDescent="0.2">
      <c r="B12" s="10"/>
      <c r="C12" s="11" t="s">
        <v>96</v>
      </c>
      <c r="D12" s="108"/>
      <c r="E12" s="108">
        <v>7.0000000000000007E-2</v>
      </c>
      <c r="F12" s="148"/>
      <c r="G12" s="45"/>
      <c r="H12" s="147"/>
    </row>
    <row r="13" spans="2:8" ht="15.75" thickBot="1" x14ac:dyDescent="0.25">
      <c r="B13" s="13"/>
      <c r="C13" s="14"/>
      <c r="D13" s="149"/>
      <c r="E13" s="14"/>
      <c r="F13" s="150"/>
      <c r="G13" s="45"/>
      <c r="H13" s="147"/>
    </row>
    <row r="14" spans="2:8" x14ac:dyDescent="0.2">
      <c r="C14" s="2"/>
      <c r="D14" s="2"/>
      <c r="F14" s="144"/>
    </row>
    <row r="15" spans="2:8" x14ac:dyDescent="0.2">
      <c r="C15" s="3" t="s">
        <v>2</v>
      </c>
      <c r="D15" s="2"/>
      <c r="F15" s="144"/>
    </row>
    <row r="16" spans="2:8" ht="15.75" thickBot="1" x14ac:dyDescent="0.25">
      <c r="C16" s="4"/>
      <c r="D16" s="2"/>
      <c r="F16" s="144"/>
    </row>
    <row r="17" spans="2:11" x14ac:dyDescent="0.2">
      <c r="B17" s="16"/>
      <c r="C17" s="17"/>
      <c r="D17" s="118"/>
      <c r="E17" s="17"/>
      <c r="F17" s="18"/>
      <c r="G17"/>
      <c r="H17"/>
      <c r="I17"/>
      <c r="J17"/>
      <c r="K17"/>
    </row>
    <row r="18" spans="2:11" ht="15.75" x14ac:dyDescent="0.25">
      <c r="B18" s="19"/>
      <c r="C18" s="58" t="s">
        <v>108</v>
      </c>
      <c r="D18" s="151"/>
      <c r="E18" s="76">
        <f>E9/(1-E8)</f>
        <v>0.12307692307692307</v>
      </c>
      <c r="F18" s="23"/>
      <c r="G18"/>
      <c r="H18"/>
      <c r="I18"/>
      <c r="J18"/>
      <c r="K18"/>
    </row>
    <row r="19" spans="2:11" x14ac:dyDescent="0.2">
      <c r="B19" s="19"/>
      <c r="C19" s="58"/>
      <c r="D19" s="151"/>
      <c r="E19" s="152"/>
      <c r="F19" s="23"/>
      <c r="G19"/>
      <c r="H19"/>
      <c r="I19"/>
      <c r="J19"/>
      <c r="K19"/>
    </row>
    <row r="20" spans="2:11" ht="15.75" x14ac:dyDescent="0.25">
      <c r="B20" s="19"/>
      <c r="C20" s="58" t="s">
        <v>109</v>
      </c>
      <c r="D20" s="151"/>
      <c r="E20" s="76">
        <f>E12/(1-E11)</f>
        <v>0.12727272727272729</v>
      </c>
      <c r="F20" s="23"/>
      <c r="G20"/>
      <c r="H20"/>
      <c r="I20"/>
      <c r="J20"/>
      <c r="K20"/>
    </row>
    <row r="21" spans="2:11" ht="15.75" thickBot="1" x14ac:dyDescent="0.25">
      <c r="B21" s="30"/>
      <c r="C21" s="33"/>
      <c r="D21" s="119"/>
      <c r="E21" s="153"/>
      <c r="F21" s="154"/>
      <c r="G21"/>
      <c r="H21"/>
      <c r="I21"/>
      <c r="J21"/>
      <c r="K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11111"/>
  <dimension ref="B1:E2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7.42578125" customWidth="1"/>
    <col min="4" max="4" width="26" customWidth="1"/>
    <col min="5" max="5" width="3.140625" style="2" customWidth="1"/>
    <col min="6" max="6" width="9.140625" customWidth="1"/>
  </cols>
  <sheetData>
    <row r="1" spans="2:5" ht="18" x14ac:dyDescent="0.25">
      <c r="C1" s="1" t="s">
        <v>98</v>
      </c>
    </row>
    <row r="2" spans="2:5" x14ac:dyDescent="0.2">
      <c r="C2" s="2" t="s">
        <v>42</v>
      </c>
    </row>
    <row r="4" spans="2:5" x14ac:dyDescent="0.2">
      <c r="C4" s="3" t="s">
        <v>0</v>
      </c>
      <c r="D4" s="2"/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10</v>
      </c>
      <c r="D7" s="393">
        <v>-18137</v>
      </c>
      <c r="E7" s="12"/>
    </row>
    <row r="8" spans="2:5" x14ac:dyDescent="0.2">
      <c r="B8" s="10"/>
      <c r="C8" s="11" t="s">
        <v>4</v>
      </c>
      <c r="D8" s="393">
        <v>279386</v>
      </c>
      <c r="E8" s="12"/>
    </row>
    <row r="9" spans="2:5" x14ac:dyDescent="0.2">
      <c r="B9" s="10"/>
      <c r="C9" s="11"/>
      <c r="D9" s="103"/>
      <c r="E9" s="12"/>
    </row>
    <row r="10" spans="2:5" x14ac:dyDescent="0.2">
      <c r="B10" s="10"/>
      <c r="C10" s="11" t="s">
        <v>4</v>
      </c>
      <c r="D10" s="102">
        <v>359815</v>
      </c>
      <c r="E10" s="12"/>
    </row>
    <row r="11" spans="2:5" ht="15.75" thickBot="1" x14ac:dyDescent="0.25">
      <c r="B11" s="13"/>
      <c r="C11" s="14"/>
      <c r="D11" s="149"/>
      <c r="E11" s="15"/>
    </row>
    <row r="12" spans="2:5" x14ac:dyDescent="0.2">
      <c r="C12" s="2"/>
      <c r="D12" s="2"/>
    </row>
    <row r="13" spans="2:5" x14ac:dyDescent="0.2">
      <c r="C13" s="3" t="s">
        <v>2</v>
      </c>
      <c r="D13" s="2"/>
    </row>
    <row r="14" spans="2:5" ht="15.75" thickBot="1" x14ac:dyDescent="0.25">
      <c r="C14" s="4"/>
      <c r="D14" s="2"/>
    </row>
    <row r="15" spans="2:5" x14ac:dyDescent="0.2">
      <c r="B15" s="16"/>
      <c r="C15" s="17"/>
      <c r="D15" s="118"/>
      <c r="E15" s="18"/>
    </row>
    <row r="16" spans="2:5" ht="15.75" x14ac:dyDescent="0.25">
      <c r="B16" s="19"/>
      <c r="C16" s="58" t="s">
        <v>181</v>
      </c>
      <c r="D16" s="57">
        <f>D7/D8</f>
        <v>-6.4917354484476678E-2</v>
      </c>
      <c r="E16" s="23"/>
    </row>
    <row r="17" spans="2:5" x14ac:dyDescent="0.2">
      <c r="B17" s="19"/>
      <c r="C17" s="58"/>
      <c r="D17" s="151"/>
      <c r="E17" s="23"/>
    </row>
    <row r="18" spans="2:5" x14ac:dyDescent="0.2">
      <c r="B18" s="19"/>
      <c r="C18" s="58" t="s">
        <v>110</v>
      </c>
      <c r="D18" s="151"/>
      <c r="E18" s="23"/>
    </row>
    <row r="19" spans="2:5" x14ac:dyDescent="0.2">
      <c r="B19" s="19"/>
      <c r="C19" s="58" t="s">
        <v>216</v>
      </c>
      <c r="D19" s="151"/>
      <c r="E19" s="23"/>
    </row>
    <row r="20" spans="2:5" x14ac:dyDescent="0.2">
      <c r="B20" s="19"/>
      <c r="C20" s="58" t="s">
        <v>111</v>
      </c>
      <c r="D20" s="151"/>
      <c r="E20" s="23"/>
    </row>
    <row r="21" spans="2:5" x14ac:dyDescent="0.2">
      <c r="B21" s="19"/>
      <c r="C21" s="58" t="s">
        <v>112</v>
      </c>
      <c r="D21" s="151"/>
      <c r="E21" s="23"/>
    </row>
    <row r="22" spans="2:5" x14ac:dyDescent="0.2">
      <c r="B22" s="19"/>
      <c r="C22" s="58" t="s">
        <v>113</v>
      </c>
      <c r="D22" s="151"/>
      <c r="E22" s="23"/>
    </row>
    <row r="23" spans="2:5" x14ac:dyDescent="0.2">
      <c r="B23" s="19"/>
      <c r="C23" s="58" t="s">
        <v>114</v>
      </c>
      <c r="D23" s="151"/>
      <c r="E23" s="23"/>
    </row>
    <row r="24" spans="2:5" x14ac:dyDescent="0.2">
      <c r="B24" s="19"/>
      <c r="C24" s="58" t="s">
        <v>115</v>
      </c>
      <c r="D24" s="151"/>
      <c r="E24" s="23"/>
    </row>
    <row r="25" spans="2:5" x14ac:dyDescent="0.2">
      <c r="B25" s="19"/>
      <c r="C25" s="58" t="s">
        <v>116</v>
      </c>
      <c r="D25" s="151"/>
      <c r="E25" s="23"/>
    </row>
    <row r="26" spans="2:5" x14ac:dyDescent="0.2">
      <c r="B26" s="19"/>
      <c r="C26" s="58" t="s">
        <v>117</v>
      </c>
      <c r="D26" s="151"/>
      <c r="E26" s="23"/>
    </row>
    <row r="27" spans="2:5" x14ac:dyDescent="0.2">
      <c r="B27" s="19"/>
      <c r="C27" s="58"/>
      <c r="D27" s="151"/>
      <c r="E27" s="23"/>
    </row>
    <row r="28" spans="2:5" ht="15.75" x14ac:dyDescent="0.25">
      <c r="B28" s="19"/>
      <c r="C28" s="58" t="s">
        <v>102</v>
      </c>
      <c r="D28" s="156">
        <f>D16*D10</f>
        <v>-23358.237903831974</v>
      </c>
      <c r="E28" s="23"/>
    </row>
    <row r="29" spans="2:5" ht="15.75" thickBot="1" x14ac:dyDescent="0.25">
      <c r="B29" s="30"/>
      <c r="C29" s="33"/>
      <c r="D29" s="119"/>
      <c r="E29" s="3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8"/>
  <dimension ref="A1:H82"/>
  <sheetViews>
    <sheetView zoomScaleNormal="100" workbookViewId="0">
      <selection activeCell="C2" sqref="C2"/>
    </sheetView>
  </sheetViews>
  <sheetFormatPr defaultRowHeight="15" x14ac:dyDescent="0.2"/>
  <cols>
    <col min="2" max="2" width="3.140625" style="162" customWidth="1"/>
    <col min="3" max="3" width="31.7109375" bestFit="1" customWidth="1"/>
    <col min="4" max="4" width="18.28515625" style="2" bestFit="1" customWidth="1"/>
    <col min="5" max="5" width="3" customWidth="1"/>
    <col min="6" max="6" width="31.7109375" bestFit="1" customWidth="1"/>
    <col min="7" max="7" width="16.85546875" bestFit="1" customWidth="1"/>
    <col min="8" max="8" width="3.140625" customWidth="1"/>
  </cols>
  <sheetData>
    <row r="1" spans="2:8" ht="18" x14ac:dyDescent="0.25">
      <c r="C1" s="1" t="s">
        <v>98</v>
      </c>
    </row>
    <row r="2" spans="2:8" x14ac:dyDescent="0.2">
      <c r="C2" s="2" t="s">
        <v>44</v>
      </c>
    </row>
    <row r="4" spans="2:8" x14ac:dyDescent="0.2">
      <c r="C4" s="3" t="s">
        <v>0</v>
      </c>
      <c r="E4" s="2"/>
      <c r="F4" s="2"/>
      <c r="G4" s="2"/>
    </row>
    <row r="5" spans="2:8" ht="15.75" thickBot="1" x14ac:dyDescent="0.25">
      <c r="C5" s="4"/>
      <c r="D5" s="5"/>
      <c r="E5" s="2"/>
      <c r="F5" s="2"/>
      <c r="G5" s="2"/>
    </row>
    <row r="6" spans="2:8" x14ac:dyDescent="0.2">
      <c r="B6" s="363"/>
      <c r="C6" s="349"/>
      <c r="D6" s="341"/>
      <c r="E6" s="341"/>
      <c r="F6" s="341"/>
      <c r="G6" s="341"/>
      <c r="H6" s="342"/>
    </row>
    <row r="7" spans="2:8" x14ac:dyDescent="0.2">
      <c r="B7" s="364"/>
      <c r="C7" s="337" t="s">
        <v>93</v>
      </c>
      <c r="D7" s="233">
        <v>0.15</v>
      </c>
      <c r="E7" s="337"/>
      <c r="F7" s="337"/>
      <c r="G7" s="337"/>
      <c r="H7" s="343"/>
    </row>
    <row r="8" spans="2:8" x14ac:dyDescent="0.2">
      <c r="B8" s="364"/>
      <c r="C8" s="337"/>
      <c r="D8" s="233"/>
      <c r="E8" s="337"/>
      <c r="F8" s="337"/>
      <c r="G8" s="337"/>
      <c r="H8" s="343"/>
    </row>
    <row r="9" spans="2:8" x14ac:dyDescent="0.2">
      <c r="B9" s="364"/>
      <c r="C9" s="337" t="s">
        <v>4</v>
      </c>
      <c r="D9" s="365">
        <v>21860000</v>
      </c>
      <c r="E9" s="337"/>
      <c r="F9" s="359"/>
      <c r="G9" s="359"/>
      <c r="H9" s="343"/>
    </row>
    <row r="10" spans="2:8" x14ac:dyDescent="0.2">
      <c r="B10" s="364"/>
      <c r="C10" s="337" t="s">
        <v>5</v>
      </c>
      <c r="D10" s="399">
        <v>19450000</v>
      </c>
      <c r="E10" s="337"/>
      <c r="F10" s="359"/>
      <c r="G10" s="359"/>
      <c r="H10" s="343"/>
    </row>
    <row r="11" spans="2:8" x14ac:dyDescent="0.2">
      <c r="B11" s="364"/>
      <c r="C11" s="337" t="s">
        <v>22</v>
      </c>
      <c r="D11" s="366">
        <f>D9-D10</f>
        <v>2410000</v>
      </c>
      <c r="E11" s="337"/>
      <c r="F11" s="359"/>
      <c r="G11" s="359"/>
      <c r="H11" s="343"/>
    </row>
    <row r="12" spans="2:8" x14ac:dyDescent="0.2">
      <c r="B12" s="364"/>
      <c r="C12" s="337" t="s">
        <v>23</v>
      </c>
      <c r="D12" s="400">
        <v>602500</v>
      </c>
      <c r="E12" s="337"/>
      <c r="F12" s="367"/>
      <c r="G12" s="337"/>
      <c r="H12" s="343"/>
    </row>
    <row r="13" spans="2:8" ht="15.75" thickBot="1" x14ac:dyDescent="0.25">
      <c r="B13" s="364"/>
      <c r="C13" s="337" t="s">
        <v>10</v>
      </c>
      <c r="D13" s="401">
        <f>D11-D12</f>
        <v>1807500</v>
      </c>
      <c r="E13" s="337"/>
      <c r="F13" s="359"/>
      <c r="G13" s="359"/>
      <c r="H13" s="343"/>
    </row>
    <row r="14" spans="2:8" ht="15.75" thickTop="1" x14ac:dyDescent="0.2">
      <c r="B14" s="364"/>
      <c r="C14" s="337"/>
      <c r="D14" s="365"/>
      <c r="E14" s="337"/>
      <c r="F14" s="359"/>
      <c r="G14" s="359"/>
      <c r="H14" s="343"/>
    </row>
    <row r="15" spans="2:8" x14ac:dyDescent="0.2">
      <c r="B15" s="364"/>
      <c r="C15" s="337" t="s">
        <v>14</v>
      </c>
      <c r="D15" s="365">
        <v>361500</v>
      </c>
      <c r="E15" s="337"/>
      <c r="F15" s="405"/>
      <c r="G15" s="359"/>
      <c r="H15" s="343"/>
    </row>
    <row r="16" spans="2:8" x14ac:dyDescent="0.2">
      <c r="B16" s="364"/>
      <c r="C16" s="337" t="s">
        <v>135</v>
      </c>
      <c r="D16" s="346">
        <f>D13-D15</f>
        <v>1446000</v>
      </c>
      <c r="E16" s="337"/>
      <c r="F16" s="359"/>
      <c r="G16" s="359"/>
      <c r="H16" s="343"/>
    </row>
    <row r="17" spans="1:8" x14ac:dyDescent="0.2">
      <c r="B17" s="364"/>
      <c r="C17" s="337"/>
      <c r="D17" s="259"/>
      <c r="E17" s="337"/>
      <c r="F17" s="359"/>
      <c r="G17" s="359"/>
      <c r="H17" s="343"/>
    </row>
    <row r="18" spans="1:8" x14ac:dyDescent="0.2">
      <c r="B18" s="364"/>
      <c r="C18" s="359"/>
      <c r="D18" s="337"/>
      <c r="E18" s="337"/>
      <c r="F18" s="367"/>
      <c r="G18" s="337"/>
      <c r="H18" s="343"/>
    </row>
    <row r="19" spans="1:8" x14ac:dyDescent="0.2">
      <c r="B19" s="364"/>
      <c r="C19" s="337" t="s">
        <v>3</v>
      </c>
      <c r="D19" s="259">
        <v>6900000</v>
      </c>
      <c r="E19" s="337"/>
      <c r="F19" s="337" t="s">
        <v>133</v>
      </c>
      <c r="G19" s="259">
        <v>5100000</v>
      </c>
      <c r="H19" s="343"/>
    </row>
    <row r="20" spans="1:8" x14ac:dyDescent="0.2">
      <c r="B20" s="364"/>
      <c r="C20" s="337" t="s">
        <v>25</v>
      </c>
      <c r="D20" s="353">
        <v>17300000</v>
      </c>
      <c r="E20" s="337"/>
      <c r="F20" s="337" t="s">
        <v>26</v>
      </c>
      <c r="G20" s="353">
        <v>5800000</v>
      </c>
      <c r="H20" s="343"/>
    </row>
    <row r="21" spans="1:8" x14ac:dyDescent="0.2">
      <c r="B21" s="364"/>
      <c r="C21" s="337"/>
      <c r="D21" s="353"/>
      <c r="E21" s="337"/>
      <c r="F21" s="337"/>
      <c r="G21" s="353"/>
      <c r="H21" s="343"/>
    </row>
    <row r="22" spans="1:8" x14ac:dyDescent="0.2">
      <c r="B22" s="364"/>
      <c r="C22" s="339"/>
      <c r="D22" s="338"/>
      <c r="E22" s="337"/>
      <c r="F22" s="337" t="s">
        <v>36</v>
      </c>
      <c r="G22" s="259">
        <v>3100000</v>
      </c>
      <c r="H22" s="343"/>
    </row>
    <row r="23" spans="1:8" x14ac:dyDescent="0.2">
      <c r="B23" s="364"/>
      <c r="C23" s="359"/>
      <c r="D23" s="337"/>
      <c r="E23" s="337"/>
      <c r="F23" s="337" t="s">
        <v>136</v>
      </c>
      <c r="G23" s="355">
        <f>(D19+D20)-(G19+G20+G22)</f>
        <v>10200000</v>
      </c>
      <c r="H23" s="343"/>
    </row>
    <row r="24" spans="1:8" x14ac:dyDescent="0.2">
      <c r="B24" s="364"/>
      <c r="C24" s="359"/>
      <c r="D24" s="337"/>
      <c r="E24" s="337"/>
      <c r="F24" s="337" t="s">
        <v>127</v>
      </c>
      <c r="G24" s="260">
        <f>G22+G23</f>
        <v>13300000</v>
      </c>
      <c r="H24" s="343"/>
    </row>
    <row r="25" spans="1:8" ht="15.75" thickBot="1" x14ac:dyDescent="0.25">
      <c r="B25" s="364"/>
      <c r="C25" s="337" t="s">
        <v>40</v>
      </c>
      <c r="D25" s="266">
        <f>SUM(D19:D20)</f>
        <v>24200000</v>
      </c>
      <c r="E25" s="337"/>
      <c r="F25" s="337" t="s">
        <v>189</v>
      </c>
      <c r="G25" s="266">
        <f>SUM(G19:G23)</f>
        <v>24200000</v>
      </c>
      <c r="H25" s="343"/>
    </row>
    <row r="26" spans="1:8" ht="16.5" thickTop="1" thickBot="1" x14ac:dyDescent="0.25">
      <c r="B26" s="368"/>
      <c r="C26" s="360"/>
      <c r="D26" s="344"/>
      <c r="E26" s="344"/>
      <c r="F26" s="369"/>
      <c r="G26" s="344"/>
      <c r="H26" s="345"/>
    </row>
    <row r="27" spans="1:8" x14ac:dyDescent="0.2">
      <c r="A27" s="361"/>
      <c r="B27" s="362"/>
      <c r="C27" s="361"/>
      <c r="D27" s="45"/>
      <c r="E27" s="45"/>
      <c r="F27" s="220"/>
      <c r="G27" s="2"/>
    </row>
    <row r="28" spans="1:8" x14ac:dyDescent="0.2">
      <c r="C28" s="3" t="s">
        <v>2</v>
      </c>
      <c r="E28" s="2"/>
      <c r="F28" s="2"/>
      <c r="G28" s="2"/>
    </row>
    <row r="29" spans="1:8" ht="15.75" thickBot="1" x14ac:dyDescent="0.25">
      <c r="C29" s="4"/>
      <c r="E29" s="2"/>
      <c r="F29" s="2"/>
      <c r="G29" s="2"/>
    </row>
    <row r="30" spans="1:8" x14ac:dyDescent="0.2">
      <c r="B30" s="166"/>
      <c r="C30" s="17"/>
      <c r="D30" s="17"/>
      <c r="E30" s="17"/>
      <c r="F30" s="17"/>
      <c r="G30" s="17"/>
      <c r="H30" s="18"/>
    </row>
    <row r="31" spans="1:8" x14ac:dyDescent="0.2">
      <c r="B31" s="161" t="s">
        <v>124</v>
      </c>
      <c r="C31" s="20" t="s">
        <v>137</v>
      </c>
      <c r="D31" s="207">
        <f>(D20+D19)/D9</f>
        <v>1.1070448307410796</v>
      </c>
      <c r="E31" s="20"/>
      <c r="F31" s="20"/>
      <c r="G31" s="20"/>
      <c r="H31" s="23"/>
    </row>
    <row r="32" spans="1:8" x14ac:dyDescent="0.2">
      <c r="B32" s="167"/>
      <c r="C32" s="20" t="s">
        <v>123</v>
      </c>
      <c r="D32" s="113">
        <f>D35-D9</f>
        <v>3278999.9999999963</v>
      </c>
      <c r="E32" s="20"/>
      <c r="F32" s="20"/>
      <c r="G32" s="20"/>
      <c r="H32" s="23"/>
    </row>
    <row r="33" spans="2:8" x14ac:dyDescent="0.2">
      <c r="B33" s="167"/>
      <c r="C33" s="20" t="s">
        <v>121</v>
      </c>
      <c r="D33" s="67">
        <f>G19/D9</f>
        <v>0.23330283623055809</v>
      </c>
      <c r="E33" s="20"/>
      <c r="F33" s="20"/>
      <c r="G33" s="20"/>
      <c r="H33" s="23"/>
    </row>
    <row r="34" spans="2:8" x14ac:dyDescent="0.2">
      <c r="B34" s="167"/>
      <c r="C34" s="20" t="s">
        <v>47</v>
      </c>
      <c r="D34" s="67">
        <f>D13/D9</f>
        <v>8.2685269899359565E-2</v>
      </c>
      <c r="E34" s="20"/>
      <c r="F34" s="20"/>
      <c r="G34" s="20"/>
      <c r="H34" s="23"/>
    </row>
    <row r="35" spans="2:8" x14ac:dyDescent="0.2">
      <c r="B35" s="167"/>
      <c r="C35" s="20" t="s">
        <v>138</v>
      </c>
      <c r="D35" s="113">
        <f>D9*(1+D7)</f>
        <v>25138999.999999996</v>
      </c>
      <c r="E35" s="20"/>
      <c r="F35" s="20"/>
      <c r="G35" s="20"/>
      <c r="H35" s="23"/>
    </row>
    <row r="36" spans="2:8" x14ac:dyDescent="0.2">
      <c r="B36" s="167"/>
      <c r="C36" s="20" t="s">
        <v>27</v>
      </c>
      <c r="D36" s="67">
        <f>D15/D13</f>
        <v>0.2</v>
      </c>
      <c r="E36" s="20"/>
      <c r="F36" s="20"/>
      <c r="G36" s="20"/>
      <c r="H36" s="23"/>
    </row>
    <row r="37" spans="2:8" x14ac:dyDescent="0.2">
      <c r="B37" s="167"/>
      <c r="C37" s="20"/>
      <c r="D37" s="20"/>
      <c r="E37" s="20"/>
      <c r="F37" s="20"/>
      <c r="G37" s="20"/>
      <c r="H37" s="23"/>
    </row>
    <row r="38" spans="2:8" ht="15.75" x14ac:dyDescent="0.25">
      <c r="B38" s="161"/>
      <c r="C38" s="20" t="s">
        <v>130</v>
      </c>
      <c r="D38" s="172">
        <f>(D31*D32)-(D33*D32)-((D34*D35)*(1-D36))</f>
        <v>1202099.9999999967</v>
      </c>
      <c r="E38" s="20"/>
      <c r="F38" s="20"/>
      <c r="G38" s="20"/>
      <c r="H38" s="23"/>
    </row>
    <row r="39" spans="2:8" x14ac:dyDescent="0.2">
      <c r="B39" s="167"/>
      <c r="C39" s="20"/>
      <c r="D39" s="20"/>
      <c r="E39" s="20"/>
      <c r="F39" s="20"/>
      <c r="G39" s="20"/>
      <c r="H39" s="23"/>
    </row>
    <row r="40" spans="2:8" x14ac:dyDescent="0.2">
      <c r="B40" s="161" t="s">
        <v>129</v>
      </c>
      <c r="C40" s="169" t="s">
        <v>6</v>
      </c>
      <c r="D40" s="20"/>
      <c r="E40" s="20"/>
      <c r="F40" s="169" t="s">
        <v>125</v>
      </c>
      <c r="G40" s="20"/>
      <c r="H40" s="23"/>
    </row>
    <row r="41" spans="2:8" x14ac:dyDescent="0.2">
      <c r="B41" s="167"/>
      <c r="C41" s="20" t="s">
        <v>3</v>
      </c>
      <c r="D41" s="160">
        <f>D19*(1+D7)</f>
        <v>7934999.9999999991</v>
      </c>
      <c r="E41" s="20"/>
      <c r="F41" s="20" t="s">
        <v>133</v>
      </c>
      <c r="G41" s="160">
        <f>G19*(1+D7)</f>
        <v>5865000</v>
      </c>
      <c r="H41" s="23"/>
    </row>
    <row r="42" spans="2:8" x14ac:dyDescent="0.2">
      <c r="B42" s="167"/>
      <c r="C42" s="35"/>
      <c r="D42" s="55"/>
      <c r="E42" s="20"/>
      <c r="F42" s="20" t="s">
        <v>26</v>
      </c>
      <c r="G42" s="160">
        <f>G20</f>
        <v>5800000</v>
      </c>
      <c r="H42" s="23"/>
    </row>
    <row r="43" spans="2:8" x14ac:dyDescent="0.2">
      <c r="B43" s="167"/>
      <c r="C43" s="20"/>
      <c r="D43" s="55"/>
      <c r="E43" s="20"/>
      <c r="F43" s="20"/>
      <c r="G43" s="55"/>
      <c r="H43" s="23"/>
    </row>
    <row r="44" spans="2:8" s="2" customFormat="1" x14ac:dyDescent="0.2">
      <c r="B44" s="167"/>
      <c r="C44" s="20" t="s">
        <v>25</v>
      </c>
      <c r="D44" s="394">
        <f>D20*(1+D7)</f>
        <v>19895000</v>
      </c>
      <c r="E44" s="20"/>
      <c r="F44" s="20" t="s">
        <v>36</v>
      </c>
      <c r="G44" s="160">
        <f>G22</f>
        <v>3100000</v>
      </c>
      <c r="H44" s="28"/>
    </row>
    <row r="45" spans="2:8" x14ac:dyDescent="0.2">
      <c r="B45" s="167"/>
      <c r="C45" s="20"/>
      <c r="D45" s="55"/>
      <c r="E45" s="20"/>
      <c r="F45" s="20" t="s">
        <v>136</v>
      </c>
      <c r="G45" s="171">
        <f>G23+((D35*D34)*(1-D36))</f>
        <v>11862900</v>
      </c>
      <c r="H45" s="23"/>
    </row>
    <row r="46" spans="2:8" s="2" customFormat="1" x14ac:dyDescent="0.2">
      <c r="B46" s="167"/>
      <c r="C46" s="20"/>
      <c r="D46" s="55"/>
      <c r="E46" s="20"/>
      <c r="F46" s="20" t="s">
        <v>127</v>
      </c>
      <c r="G46" s="160">
        <f>SUM(G44:G45)</f>
        <v>14962900</v>
      </c>
      <c r="H46" s="28"/>
    </row>
    <row r="47" spans="2:8" s="2" customFormat="1" x14ac:dyDescent="0.2">
      <c r="B47" s="167"/>
      <c r="C47" s="20"/>
      <c r="D47" s="55"/>
      <c r="E47" s="20"/>
      <c r="F47" s="20"/>
      <c r="G47" s="55"/>
      <c r="H47" s="28"/>
    </row>
    <row r="48" spans="2:8" s="2" customFormat="1" ht="15.75" thickBot="1" x14ac:dyDescent="0.25">
      <c r="B48" s="167"/>
      <c r="C48" s="20" t="s">
        <v>40</v>
      </c>
      <c r="D48" s="170">
        <f>D41+D44</f>
        <v>27830000</v>
      </c>
      <c r="E48" s="20"/>
      <c r="F48" s="20" t="s">
        <v>128</v>
      </c>
      <c r="G48" s="170">
        <f>G42+G41+G46</f>
        <v>26627900</v>
      </c>
      <c r="H48" s="28"/>
    </row>
    <row r="49" spans="2:8" s="2" customFormat="1" ht="15.75" thickTop="1" x14ac:dyDescent="0.2">
      <c r="B49" s="167"/>
      <c r="C49" s="20"/>
      <c r="D49" s="160"/>
      <c r="E49" s="20"/>
      <c r="F49" s="20"/>
      <c r="G49" s="160"/>
      <c r="H49" s="28"/>
    </row>
    <row r="50" spans="2:8" s="2" customFormat="1" x14ac:dyDescent="0.2">
      <c r="B50" s="167"/>
      <c r="C50" s="20" t="s">
        <v>10</v>
      </c>
      <c r="D50" s="160">
        <f>D34*D35</f>
        <v>2078624.9999999998</v>
      </c>
      <c r="E50" s="20"/>
      <c r="F50" s="20"/>
      <c r="G50" s="160"/>
      <c r="H50" s="28"/>
    </row>
    <row r="51" spans="2:8" s="2" customFormat="1" x14ac:dyDescent="0.2">
      <c r="B51" s="167"/>
      <c r="C51" s="20"/>
      <c r="D51" s="160"/>
      <c r="E51" s="20"/>
      <c r="F51" s="20"/>
      <c r="G51" s="160"/>
      <c r="H51" s="28"/>
    </row>
    <row r="52" spans="2:8" s="2" customFormat="1" x14ac:dyDescent="0.2">
      <c r="B52" s="167"/>
      <c r="C52" s="20" t="s">
        <v>126</v>
      </c>
      <c r="D52" s="160">
        <f>D50*(1-D36)</f>
        <v>1662900</v>
      </c>
      <c r="E52" s="20"/>
      <c r="F52" s="20"/>
      <c r="G52" s="160"/>
      <c r="H52" s="28"/>
    </row>
    <row r="53" spans="2:8" s="2" customFormat="1" x14ac:dyDescent="0.2">
      <c r="B53" s="167"/>
      <c r="C53" s="20"/>
      <c r="D53" s="160"/>
      <c r="E53" s="20"/>
      <c r="F53" s="20"/>
      <c r="G53" s="160"/>
      <c r="H53" s="28"/>
    </row>
    <row r="54" spans="2:8" s="2" customFormat="1" ht="15.75" x14ac:dyDescent="0.25">
      <c r="B54" s="167"/>
      <c r="C54" s="20" t="s">
        <v>130</v>
      </c>
      <c r="D54" s="172">
        <f>D48-G48</f>
        <v>1202100</v>
      </c>
      <c r="E54" s="20"/>
      <c r="F54" s="20"/>
      <c r="G54" s="160"/>
      <c r="H54" s="28"/>
    </row>
    <row r="55" spans="2:8" s="2" customFormat="1" ht="15.75" x14ac:dyDescent="0.25">
      <c r="B55" s="167"/>
      <c r="C55" s="20"/>
      <c r="D55" s="173"/>
      <c r="E55" s="20"/>
      <c r="F55" s="20"/>
      <c r="G55" s="160"/>
      <c r="H55" s="28"/>
    </row>
    <row r="56" spans="2:8" s="2" customFormat="1" x14ac:dyDescent="0.2">
      <c r="B56" s="161" t="s">
        <v>131</v>
      </c>
      <c r="C56" s="20" t="s">
        <v>217</v>
      </c>
      <c r="D56" s="67">
        <f>(G20+G19)/(G22+G23)</f>
        <v>0.81954887218045114</v>
      </c>
      <c r="E56" s="20"/>
      <c r="F56" s="20"/>
      <c r="G56" s="160"/>
      <c r="H56" s="28"/>
    </row>
    <row r="57" spans="2:8" s="2" customFormat="1" x14ac:dyDescent="0.2">
      <c r="B57" s="161"/>
      <c r="C57" s="20" t="s">
        <v>134</v>
      </c>
      <c r="D57" s="67">
        <f>(D19+D20)/D9</f>
        <v>1.1070448307410796</v>
      </c>
      <c r="E57" s="20"/>
      <c r="F57" s="20"/>
      <c r="G57" s="160"/>
      <c r="H57" s="28"/>
    </row>
    <row r="58" spans="2:8" s="2" customFormat="1" ht="15.75" x14ac:dyDescent="0.25">
      <c r="B58" s="167"/>
      <c r="C58" s="20"/>
      <c r="D58" s="173"/>
      <c r="E58" s="20"/>
      <c r="F58" s="20"/>
      <c r="G58" s="160"/>
      <c r="H58" s="28"/>
    </row>
    <row r="59" spans="2:8" s="2" customFormat="1" ht="15.75" x14ac:dyDescent="0.25">
      <c r="B59" s="167"/>
      <c r="C59" s="20" t="s">
        <v>56</v>
      </c>
      <c r="D59" s="57">
        <f>(D34*(1-D36)*(1+D56))/(D57-(D34*(1-D36))*(1+D56))</f>
        <v>0.1219841403745571</v>
      </c>
      <c r="E59" s="20"/>
      <c r="F59" s="20"/>
      <c r="G59" s="160"/>
      <c r="H59" s="28"/>
    </row>
    <row r="60" spans="2:8" s="2" customFormat="1" ht="15.75" x14ac:dyDescent="0.25">
      <c r="B60" s="167"/>
      <c r="C60" s="20"/>
      <c r="D60" s="173"/>
      <c r="E60" s="20"/>
      <c r="F60" s="20"/>
      <c r="G60" s="160"/>
      <c r="H60" s="28"/>
    </row>
    <row r="61" spans="2:8" s="2" customFormat="1" ht="15.75" x14ac:dyDescent="0.25">
      <c r="B61" s="167"/>
      <c r="C61" s="20" t="s">
        <v>139</v>
      </c>
      <c r="D61" s="173"/>
      <c r="E61" s="20"/>
      <c r="F61" s="20"/>
      <c r="G61" s="160"/>
      <c r="H61" s="28"/>
    </row>
    <row r="62" spans="2:8" s="2" customFormat="1" x14ac:dyDescent="0.2">
      <c r="B62" s="167"/>
      <c r="C62" s="20" t="s">
        <v>140</v>
      </c>
      <c r="D62" s="67">
        <f>D13/(G22+G23)</f>
        <v>0.13590225563909775</v>
      </c>
      <c r="E62" s="20"/>
      <c r="F62" s="20"/>
      <c r="G62" s="160"/>
      <c r="H62" s="28"/>
    </row>
    <row r="63" spans="2:8" s="2" customFormat="1" x14ac:dyDescent="0.2">
      <c r="B63" s="167"/>
      <c r="C63" s="20" t="s">
        <v>141</v>
      </c>
      <c r="D63" s="174">
        <f>1-D36</f>
        <v>0.8</v>
      </c>
      <c r="E63" s="20"/>
      <c r="F63" s="20"/>
      <c r="G63" s="160"/>
      <c r="H63" s="28"/>
    </row>
    <row r="64" spans="2:8" s="2" customFormat="1" x14ac:dyDescent="0.2">
      <c r="B64" s="167"/>
      <c r="C64" s="20"/>
      <c r="D64" s="174"/>
      <c r="E64" s="20"/>
      <c r="F64" s="20"/>
      <c r="G64" s="160"/>
      <c r="H64" s="28"/>
    </row>
    <row r="65" spans="2:8" s="2" customFormat="1" ht="15.75" x14ac:dyDescent="0.25">
      <c r="B65" s="167"/>
      <c r="C65" s="20" t="s">
        <v>142</v>
      </c>
      <c r="D65" s="57">
        <f>(D62*D63)/(1-(D62*D63))</f>
        <v>0.12198414037455713</v>
      </c>
      <c r="E65" s="20"/>
      <c r="F65" s="20"/>
      <c r="G65" s="160"/>
      <c r="H65" s="28"/>
    </row>
    <row r="66" spans="2:8" s="2" customFormat="1" ht="15.75" x14ac:dyDescent="0.25">
      <c r="B66" s="167"/>
      <c r="C66" s="20"/>
      <c r="D66" s="56"/>
      <c r="E66" s="20"/>
      <c r="F66" s="20"/>
      <c r="G66" s="160"/>
      <c r="H66" s="28"/>
    </row>
    <row r="67" spans="2:8" s="2" customFormat="1" x14ac:dyDescent="0.2">
      <c r="B67" s="161" t="s">
        <v>143</v>
      </c>
      <c r="C67" s="20" t="s">
        <v>144</v>
      </c>
      <c r="D67" s="175"/>
      <c r="E67" s="20"/>
      <c r="F67" s="20"/>
      <c r="G67" s="160"/>
      <c r="H67" s="28"/>
    </row>
    <row r="68" spans="2:8" s="2" customFormat="1" x14ac:dyDescent="0.2">
      <c r="B68" s="161"/>
      <c r="C68" s="20"/>
      <c r="D68" s="175"/>
      <c r="E68" s="20"/>
      <c r="F68" s="20"/>
      <c r="G68" s="160"/>
      <c r="H68" s="28"/>
    </row>
    <row r="69" spans="2:8" s="2" customFormat="1" x14ac:dyDescent="0.2">
      <c r="B69" s="161"/>
      <c r="C69" s="20" t="s">
        <v>145</v>
      </c>
      <c r="D69" s="113">
        <f>D13*(1+D7)</f>
        <v>2078624.9999999998</v>
      </c>
      <c r="E69" s="20"/>
      <c r="F69" s="20"/>
      <c r="G69" s="160"/>
      <c r="H69" s="28"/>
    </row>
    <row r="70" spans="2:8" s="2" customFormat="1" ht="15.75" x14ac:dyDescent="0.25">
      <c r="B70" s="167"/>
      <c r="C70" s="20"/>
      <c r="D70" s="56"/>
      <c r="E70" s="20"/>
      <c r="F70" s="20"/>
      <c r="G70" s="160"/>
      <c r="H70" s="28"/>
    </row>
    <row r="71" spans="2:8" s="2" customFormat="1" x14ac:dyDescent="0.2">
      <c r="B71" s="167"/>
      <c r="C71" s="169" t="s">
        <v>6</v>
      </c>
      <c r="D71" s="20"/>
      <c r="E71" s="20"/>
      <c r="F71" s="169" t="s">
        <v>125</v>
      </c>
      <c r="G71" s="20"/>
      <c r="H71" s="28"/>
    </row>
    <row r="72" spans="2:8" s="2" customFormat="1" x14ac:dyDescent="0.2">
      <c r="B72" s="167"/>
      <c r="C72" s="20" t="s">
        <v>3</v>
      </c>
      <c r="D72" s="160">
        <f>D41</f>
        <v>7934999.9999999991</v>
      </c>
      <c r="E72" s="20"/>
      <c r="F72" s="20" t="s">
        <v>133</v>
      </c>
      <c r="G72" s="160">
        <f>G41</f>
        <v>5865000</v>
      </c>
      <c r="H72" s="28"/>
    </row>
    <row r="73" spans="2:8" s="2" customFormat="1" x14ac:dyDescent="0.2">
      <c r="B73" s="167"/>
      <c r="C73" s="35"/>
      <c r="D73" s="55"/>
      <c r="E73" s="20"/>
      <c r="F73" s="20" t="s">
        <v>26</v>
      </c>
      <c r="G73" s="160">
        <f>G42</f>
        <v>5800000</v>
      </c>
      <c r="H73" s="28"/>
    </row>
    <row r="74" spans="2:8" s="2" customFormat="1" x14ac:dyDescent="0.2">
      <c r="B74" s="167"/>
      <c r="C74" s="20"/>
      <c r="D74" s="55"/>
      <c r="E74" s="20"/>
      <c r="F74" s="20"/>
      <c r="G74" s="55"/>
      <c r="H74" s="28"/>
    </row>
    <row r="75" spans="2:8" s="2" customFormat="1" x14ac:dyDescent="0.2">
      <c r="B75" s="167"/>
      <c r="C75" s="20" t="s">
        <v>25</v>
      </c>
      <c r="D75" s="394">
        <f>D44</f>
        <v>19895000</v>
      </c>
      <c r="E75" s="20"/>
      <c r="F75" s="20" t="s">
        <v>36</v>
      </c>
      <c r="G75" s="160">
        <f>G44</f>
        <v>3100000</v>
      </c>
      <c r="H75" s="28"/>
    </row>
    <row r="76" spans="2:8" s="2" customFormat="1" x14ac:dyDescent="0.2">
      <c r="B76" s="167"/>
      <c r="C76" s="20"/>
      <c r="D76" s="55"/>
      <c r="E76" s="20"/>
      <c r="F76" s="20" t="s">
        <v>136</v>
      </c>
      <c r="G76" s="171">
        <f>G23+D69</f>
        <v>12278625</v>
      </c>
      <c r="H76" s="28"/>
    </row>
    <row r="77" spans="2:8" s="2" customFormat="1" x14ac:dyDescent="0.2">
      <c r="B77" s="167"/>
      <c r="C77" s="20"/>
      <c r="D77" s="55"/>
      <c r="E77" s="20"/>
      <c r="F77" s="20" t="s">
        <v>127</v>
      </c>
      <c r="G77" s="160">
        <f>SUM(G75:G76)</f>
        <v>15378625</v>
      </c>
      <c r="H77" s="28"/>
    </row>
    <row r="78" spans="2:8" s="2" customFormat="1" x14ac:dyDescent="0.2">
      <c r="B78" s="167"/>
      <c r="C78" s="20"/>
      <c r="D78" s="55"/>
      <c r="E78" s="20"/>
      <c r="F78" s="20"/>
      <c r="G78" s="55"/>
      <c r="H78" s="28"/>
    </row>
    <row r="79" spans="2:8" s="2" customFormat="1" ht="15.75" thickBot="1" x14ac:dyDescent="0.25">
      <c r="B79" s="167"/>
      <c r="C79" s="20" t="s">
        <v>40</v>
      </c>
      <c r="D79" s="170">
        <f>D72+D75</f>
        <v>27830000</v>
      </c>
      <c r="E79" s="20"/>
      <c r="F79" s="20" t="s">
        <v>128</v>
      </c>
      <c r="G79" s="170">
        <f>G73+G72+G77</f>
        <v>27043625</v>
      </c>
      <c r="H79" s="28"/>
    </row>
    <row r="80" spans="2:8" s="2" customFormat="1" ht="15.75" thickTop="1" x14ac:dyDescent="0.2">
      <c r="B80" s="167"/>
      <c r="C80" s="20"/>
      <c r="D80" s="160"/>
      <c r="E80" s="20"/>
      <c r="F80" s="20"/>
      <c r="G80" s="160"/>
      <c r="H80" s="28"/>
    </row>
    <row r="81" spans="2:8" s="2" customFormat="1" ht="15.75" x14ac:dyDescent="0.25">
      <c r="B81" s="167"/>
      <c r="C81" s="20" t="s">
        <v>130</v>
      </c>
      <c r="D81" s="172">
        <f>D79-G79</f>
        <v>786375</v>
      </c>
      <c r="E81" s="20"/>
      <c r="F81" s="20"/>
      <c r="G81" s="160"/>
      <c r="H81" s="28"/>
    </row>
    <row r="82" spans="2:8" ht="15.75" thickBot="1" x14ac:dyDescent="0.25">
      <c r="B82" s="168"/>
      <c r="C82" s="31"/>
      <c r="D82" s="33"/>
      <c r="E82" s="31"/>
      <c r="F82" s="31"/>
      <c r="G82" s="31"/>
      <c r="H82" s="32"/>
    </row>
  </sheetData>
  <phoneticPr fontId="21" type="noConversion"/>
  <pageMargins left="0.75" right="0.75" top="1" bottom="1" header="0.5" footer="0.5"/>
  <pageSetup scale="66"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4"/>
  <dimension ref="B1:H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85546875" bestFit="1" customWidth="1"/>
    <col min="4" max="4" width="15.7109375" customWidth="1"/>
    <col min="5" max="5" width="3.7109375" style="2" customWidth="1"/>
    <col min="6" max="6" width="9.140625" customWidth="1"/>
    <col min="7" max="7" width="9.140625" style="2" customWidth="1"/>
    <col min="8" max="8" width="9.140625" style="2"/>
    <col min="9" max="9" width="9.140625" customWidth="1"/>
  </cols>
  <sheetData>
    <row r="1" spans="2:8" ht="18" x14ac:dyDescent="0.25">
      <c r="C1" s="1" t="s">
        <v>98</v>
      </c>
    </row>
    <row r="2" spans="2:8" x14ac:dyDescent="0.2">
      <c r="C2" s="2" t="s">
        <v>46</v>
      </c>
    </row>
    <row r="4" spans="2:8" x14ac:dyDescent="0.2">
      <c r="C4" s="3" t="s">
        <v>0</v>
      </c>
      <c r="D4" s="2"/>
      <c r="F4" s="2"/>
    </row>
    <row r="5" spans="2:8" ht="15.75" thickBot="1" x14ac:dyDescent="0.25">
      <c r="C5" s="4"/>
      <c r="D5" s="2"/>
      <c r="F5" s="2"/>
    </row>
    <row r="6" spans="2:8" x14ac:dyDescent="0.2">
      <c r="B6" s="6"/>
      <c r="C6" s="7"/>
      <c r="D6" s="129"/>
      <c r="E6" s="130"/>
      <c r="F6" s="45"/>
      <c r="H6"/>
    </row>
    <row r="7" spans="2:8" x14ac:dyDescent="0.2">
      <c r="B7" s="10"/>
      <c r="C7" s="11" t="s">
        <v>10</v>
      </c>
      <c r="D7" s="122">
        <v>386000</v>
      </c>
      <c r="E7" s="131"/>
      <c r="F7" s="45"/>
      <c r="H7"/>
    </row>
    <row r="8" spans="2:8" x14ac:dyDescent="0.2">
      <c r="B8" s="10"/>
      <c r="C8" s="11" t="s">
        <v>47</v>
      </c>
      <c r="D8" s="108">
        <v>8.5999999999999993E-2</v>
      </c>
      <c r="E8" s="131"/>
      <c r="F8" s="45"/>
      <c r="H8"/>
    </row>
    <row r="9" spans="2:8" x14ac:dyDescent="0.2">
      <c r="B9" s="10"/>
      <c r="C9" s="11" t="s">
        <v>31</v>
      </c>
      <c r="D9" s="206">
        <v>191300</v>
      </c>
      <c r="E9" s="131"/>
      <c r="F9" s="45"/>
      <c r="H9"/>
    </row>
    <row r="10" spans="2:8" x14ac:dyDescent="0.2">
      <c r="B10" s="10"/>
      <c r="C10" s="11" t="s">
        <v>156</v>
      </c>
      <c r="D10" s="104">
        <v>0.8</v>
      </c>
      <c r="E10" s="131"/>
      <c r="F10" s="45"/>
      <c r="H10"/>
    </row>
    <row r="11" spans="2:8" ht="15.75" thickBot="1" x14ac:dyDescent="0.25">
      <c r="B11" s="13"/>
      <c r="C11" s="14"/>
      <c r="D11" s="133"/>
      <c r="E11" s="134"/>
      <c r="F11" s="45"/>
      <c r="H11"/>
    </row>
    <row r="12" spans="2:8" x14ac:dyDescent="0.2">
      <c r="C12" s="2"/>
      <c r="D12" s="2"/>
      <c r="F12" s="2"/>
    </row>
    <row r="13" spans="2:8" x14ac:dyDescent="0.2">
      <c r="C13" s="3" t="s">
        <v>2</v>
      </c>
      <c r="D13" s="2"/>
      <c r="F13" s="2"/>
    </row>
    <row r="14" spans="2:8" ht="15.75" thickBot="1" x14ac:dyDescent="0.25">
      <c r="C14" s="4"/>
      <c r="D14" s="2"/>
      <c r="F14" s="2"/>
    </row>
    <row r="15" spans="2:8" x14ac:dyDescent="0.2">
      <c r="B15" s="16"/>
      <c r="C15" s="17"/>
      <c r="D15" s="118"/>
      <c r="E15" s="135"/>
      <c r="G15"/>
      <c r="H15"/>
    </row>
    <row r="16" spans="2:8" x14ac:dyDescent="0.2">
      <c r="B16" s="19"/>
      <c r="C16" s="58" t="s">
        <v>157</v>
      </c>
      <c r="D16" s="113">
        <f>D7/D8</f>
        <v>4488372.0930232564</v>
      </c>
      <c r="E16" s="23"/>
      <c r="G16"/>
      <c r="H16"/>
    </row>
    <row r="17" spans="2:8" x14ac:dyDescent="0.2">
      <c r="B17" s="19"/>
      <c r="C17" s="58" t="s">
        <v>158</v>
      </c>
      <c r="D17" s="113">
        <f>D16*D10</f>
        <v>3590697.6744186054</v>
      </c>
      <c r="E17" s="23"/>
      <c r="G17"/>
      <c r="H17"/>
    </row>
    <row r="18" spans="2:8" x14ac:dyDescent="0.2">
      <c r="B18" s="19"/>
      <c r="C18" s="58" t="s">
        <v>159</v>
      </c>
      <c r="D18" s="207">
        <f>D17/D9</f>
        <v>18.769982615883979</v>
      </c>
      <c r="E18" s="23"/>
      <c r="G18"/>
      <c r="H18"/>
    </row>
    <row r="19" spans="2:8" x14ac:dyDescent="0.2">
      <c r="B19" s="19"/>
      <c r="C19" s="58"/>
      <c r="D19" s="137"/>
      <c r="E19" s="138"/>
      <c r="G19"/>
      <c r="H19"/>
    </row>
    <row r="20" spans="2:8" ht="15.75" x14ac:dyDescent="0.25">
      <c r="B20" s="19"/>
      <c r="C20" s="58" t="s">
        <v>160</v>
      </c>
      <c r="D20" s="208">
        <f>365/D18</f>
        <v>19.445942357512951</v>
      </c>
      <c r="E20" s="140"/>
      <c r="G20"/>
      <c r="H20"/>
    </row>
    <row r="21" spans="2:8" ht="15.75" thickBot="1" x14ac:dyDescent="0.25">
      <c r="B21" s="30"/>
      <c r="C21" s="33"/>
      <c r="D21" s="141"/>
      <c r="E21" s="142"/>
      <c r="G21"/>
      <c r="H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"/>
  <dimension ref="B1:H26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2.85546875" customWidth="1"/>
    <col min="4" max="4" width="15.140625" style="2" customWidth="1"/>
    <col min="5" max="5" width="3.140625" customWidth="1"/>
    <col min="6" max="6" width="9.140625" style="2" customWidth="1"/>
    <col min="7" max="7" width="9.140625" style="144" customWidth="1"/>
    <col min="8" max="8" width="9.140625" style="145" customWidth="1"/>
    <col min="9" max="9" width="9.140625" customWidth="1"/>
  </cols>
  <sheetData>
    <row r="1" spans="2:7" ht="18" x14ac:dyDescent="0.25">
      <c r="C1" s="1" t="s">
        <v>98</v>
      </c>
    </row>
    <row r="2" spans="2:7" x14ac:dyDescent="0.2">
      <c r="C2" s="2" t="s">
        <v>49</v>
      </c>
    </row>
    <row r="4" spans="2:7" x14ac:dyDescent="0.2">
      <c r="C4" s="3" t="s">
        <v>0</v>
      </c>
      <c r="E4" s="2"/>
    </row>
    <row r="5" spans="2:7" ht="15.75" thickBot="1" x14ac:dyDescent="0.25">
      <c r="C5" s="4"/>
      <c r="E5" s="2"/>
    </row>
    <row r="6" spans="2:7" x14ac:dyDescent="0.2">
      <c r="B6" s="6"/>
      <c r="C6" s="7"/>
      <c r="D6" s="8"/>
      <c r="E6" s="130"/>
      <c r="F6" s="45"/>
      <c r="G6" s="147"/>
    </row>
    <row r="7" spans="2:7" x14ac:dyDescent="0.2">
      <c r="B7" s="10"/>
      <c r="C7" s="11" t="s">
        <v>161</v>
      </c>
      <c r="D7" s="221">
        <v>0.34</v>
      </c>
      <c r="E7" s="131"/>
      <c r="F7" s="45"/>
      <c r="G7" s="147"/>
    </row>
    <row r="8" spans="2:7" x14ac:dyDescent="0.2">
      <c r="B8" s="10"/>
      <c r="C8" s="11" t="s">
        <v>162</v>
      </c>
      <c r="D8" s="221">
        <v>1.29</v>
      </c>
      <c r="E8" s="131"/>
      <c r="F8" s="45"/>
      <c r="G8" s="147"/>
    </row>
    <row r="9" spans="2:7" x14ac:dyDescent="0.2">
      <c r="B9" s="10"/>
      <c r="C9" s="11" t="s">
        <v>1</v>
      </c>
      <c r="D9" s="102">
        <v>1450</v>
      </c>
      <c r="E9" s="131"/>
      <c r="F9" s="45"/>
      <c r="G9" s="147"/>
    </row>
    <row r="10" spans="2:7" x14ac:dyDescent="0.2">
      <c r="B10" s="10"/>
      <c r="C10" s="11" t="s">
        <v>4</v>
      </c>
      <c r="D10" s="102">
        <v>7380</v>
      </c>
      <c r="E10" s="131"/>
      <c r="F10" s="45"/>
      <c r="G10" s="147"/>
    </row>
    <row r="11" spans="2:7" x14ac:dyDescent="0.2">
      <c r="B11" s="10"/>
      <c r="C11" s="11" t="s">
        <v>47</v>
      </c>
      <c r="D11" s="106">
        <v>8.1000000000000003E-2</v>
      </c>
      <c r="E11" s="131"/>
      <c r="F11" s="45"/>
      <c r="G11" s="147"/>
    </row>
    <row r="12" spans="2:7" x14ac:dyDescent="0.2">
      <c r="B12" s="10"/>
      <c r="C12" s="11" t="s">
        <v>45</v>
      </c>
      <c r="D12" s="106">
        <v>0.14299999999999999</v>
      </c>
      <c r="E12" s="131"/>
      <c r="F12" s="45"/>
      <c r="G12" s="147"/>
    </row>
    <row r="13" spans="2:7" ht="15.75" thickBot="1" x14ac:dyDescent="0.25">
      <c r="B13" s="13"/>
      <c r="C13" s="14"/>
      <c r="D13" s="14"/>
      <c r="E13" s="134"/>
      <c r="F13" s="45"/>
      <c r="G13" s="147"/>
    </row>
    <row r="14" spans="2:7" x14ac:dyDescent="0.2">
      <c r="C14" s="2"/>
      <c r="E14" s="2"/>
    </row>
    <row r="15" spans="2:7" x14ac:dyDescent="0.2">
      <c r="C15" s="3" t="s">
        <v>2</v>
      </c>
      <c r="E15" s="2"/>
    </row>
    <row r="16" spans="2:7" ht="15.75" thickBot="1" x14ac:dyDescent="0.25">
      <c r="C16" s="4"/>
      <c r="E16" s="2"/>
    </row>
    <row r="17" spans="2:8" x14ac:dyDescent="0.2">
      <c r="B17" s="16"/>
      <c r="C17" s="17"/>
      <c r="D17" s="209"/>
      <c r="E17" s="18"/>
      <c r="F17"/>
      <c r="G17"/>
      <c r="H17"/>
    </row>
    <row r="18" spans="2:8" x14ac:dyDescent="0.2">
      <c r="B18" s="19"/>
      <c r="C18" s="58" t="s">
        <v>163</v>
      </c>
      <c r="D18" s="47">
        <f>D8*D9</f>
        <v>1870.5</v>
      </c>
      <c r="E18" s="23"/>
      <c r="F18"/>
      <c r="G18"/>
      <c r="H18"/>
    </row>
    <row r="19" spans="2:8" x14ac:dyDescent="0.2">
      <c r="B19" s="19"/>
      <c r="C19" s="58" t="s">
        <v>102</v>
      </c>
      <c r="D19" s="48">
        <f>D10*D11</f>
        <v>597.78</v>
      </c>
      <c r="E19" s="23"/>
      <c r="F19"/>
      <c r="G19"/>
      <c r="H19"/>
    </row>
    <row r="20" spans="2:8" x14ac:dyDescent="0.2">
      <c r="B20" s="19"/>
      <c r="C20" s="58" t="s">
        <v>101</v>
      </c>
      <c r="D20" s="48">
        <f>D19/D12</f>
        <v>4180.2797202797201</v>
      </c>
      <c r="E20" s="23"/>
      <c r="F20"/>
      <c r="G20"/>
      <c r="H20"/>
    </row>
    <row r="21" spans="2:8" x14ac:dyDescent="0.2">
      <c r="B21" s="19"/>
      <c r="C21" s="58" t="s">
        <v>164</v>
      </c>
      <c r="D21" s="48">
        <f>D20/((1/D7)-1)</f>
        <v>2153.4774316592502</v>
      </c>
      <c r="E21" s="23"/>
      <c r="F21"/>
      <c r="G21"/>
      <c r="H21"/>
    </row>
    <row r="22" spans="2:8" x14ac:dyDescent="0.2">
      <c r="B22" s="19"/>
      <c r="C22" s="58" t="s">
        <v>165</v>
      </c>
      <c r="D22" s="48">
        <f>D9+D21</f>
        <v>3603.4774316592502</v>
      </c>
      <c r="E22" s="23"/>
      <c r="F22"/>
      <c r="G22"/>
      <c r="H22"/>
    </row>
    <row r="23" spans="2:8" x14ac:dyDescent="0.2">
      <c r="B23" s="19"/>
      <c r="C23" s="58" t="s">
        <v>166</v>
      </c>
      <c r="D23" s="48">
        <f>D22+D20</f>
        <v>7783.7571519389703</v>
      </c>
      <c r="E23" s="23"/>
      <c r="F23"/>
      <c r="G23"/>
      <c r="H23"/>
    </row>
    <row r="24" spans="2:8" x14ac:dyDescent="0.2">
      <c r="B24" s="19"/>
      <c r="C24" s="58"/>
      <c r="D24" s="158"/>
      <c r="E24" s="23"/>
      <c r="F24"/>
      <c r="G24"/>
      <c r="H24"/>
    </row>
    <row r="25" spans="2:8" ht="15.75" x14ac:dyDescent="0.25">
      <c r="B25" s="19"/>
      <c r="C25" s="58" t="s">
        <v>167</v>
      </c>
      <c r="D25" s="50">
        <f>D23-D18</f>
        <v>5913.2571519389703</v>
      </c>
      <c r="E25" s="23"/>
      <c r="F25"/>
      <c r="G25"/>
      <c r="H25"/>
    </row>
    <row r="26" spans="2:8" ht="15.75" thickBot="1" x14ac:dyDescent="0.25">
      <c r="B26" s="30"/>
      <c r="C26" s="33"/>
      <c r="D26" s="210"/>
      <c r="E26" s="32"/>
      <c r="F26"/>
      <c r="G26"/>
      <c r="H26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2111"/>
  <dimension ref="B1:J2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4" customWidth="1"/>
    <col min="4" max="4" width="14.5703125" style="2" customWidth="1"/>
    <col min="5" max="5" width="3.140625" style="143" customWidth="1"/>
    <col min="6" max="6" width="9.140625" style="2" customWidth="1"/>
    <col min="7" max="7" width="9.140625" style="144" customWidth="1"/>
    <col min="8" max="10" width="9.140625" style="145" customWidth="1"/>
    <col min="11" max="11" width="9.140625" customWidth="1"/>
  </cols>
  <sheetData>
    <row r="1" spans="2:10" ht="18" x14ac:dyDescent="0.25">
      <c r="C1" s="1" t="s">
        <v>98</v>
      </c>
    </row>
    <row r="2" spans="2:10" x14ac:dyDescent="0.2">
      <c r="C2" s="2" t="s">
        <v>146</v>
      </c>
    </row>
    <row r="4" spans="2:10" x14ac:dyDescent="0.2">
      <c r="C4" s="3" t="s">
        <v>0</v>
      </c>
      <c r="E4" s="144"/>
    </row>
    <row r="5" spans="2:10" ht="15.75" thickBot="1" x14ac:dyDescent="0.25">
      <c r="C5" s="4"/>
      <c r="E5" s="144"/>
    </row>
    <row r="6" spans="2:10" x14ac:dyDescent="0.2">
      <c r="B6" s="6"/>
      <c r="C6" s="7"/>
      <c r="D6" s="8"/>
      <c r="E6" s="146"/>
      <c r="F6" s="45"/>
      <c r="G6" s="147"/>
    </row>
    <row r="7" spans="2:10" x14ac:dyDescent="0.2">
      <c r="B7" s="10"/>
      <c r="C7" s="11" t="s">
        <v>10</v>
      </c>
      <c r="D7" s="102">
        <v>13150</v>
      </c>
      <c r="E7" s="148"/>
      <c r="F7" s="45"/>
      <c r="G7" s="147"/>
    </row>
    <row r="8" spans="2:10" x14ac:dyDescent="0.2">
      <c r="B8" s="10"/>
      <c r="C8" s="11" t="s">
        <v>21</v>
      </c>
      <c r="D8" s="104">
        <v>0.24</v>
      </c>
      <c r="E8" s="148"/>
      <c r="F8" s="45"/>
      <c r="G8" s="147"/>
    </row>
    <row r="9" spans="2:10" x14ac:dyDescent="0.2">
      <c r="B9" s="10"/>
      <c r="C9" s="11" t="s">
        <v>168</v>
      </c>
      <c r="D9" s="102">
        <v>3460</v>
      </c>
      <c r="E9" s="148"/>
      <c r="F9" s="45"/>
      <c r="G9" s="147"/>
    </row>
    <row r="10" spans="2:10" x14ac:dyDescent="0.2">
      <c r="B10" s="10"/>
      <c r="C10" s="11" t="s">
        <v>169</v>
      </c>
      <c r="D10" s="110">
        <v>4380</v>
      </c>
      <c r="E10" s="148"/>
      <c r="F10" s="45"/>
      <c r="G10" s="147"/>
    </row>
    <row r="11" spans="2:10" ht="15.75" thickBot="1" x14ac:dyDescent="0.25">
      <c r="B11" s="13"/>
      <c r="C11" s="14"/>
      <c r="D11" s="14"/>
      <c r="E11" s="150"/>
      <c r="F11" s="45"/>
      <c r="G11" s="147"/>
    </row>
    <row r="12" spans="2:10" x14ac:dyDescent="0.2">
      <c r="C12" s="2"/>
      <c r="E12" s="144"/>
    </row>
    <row r="13" spans="2:10" x14ac:dyDescent="0.2">
      <c r="C13" s="3" t="s">
        <v>2</v>
      </c>
      <c r="E13" s="144"/>
    </row>
    <row r="14" spans="2:10" ht="15.75" thickBot="1" x14ac:dyDescent="0.25">
      <c r="C14" s="4"/>
      <c r="E14" s="144"/>
    </row>
    <row r="15" spans="2:10" x14ac:dyDescent="0.2">
      <c r="B15" s="16"/>
      <c r="C15" s="17"/>
      <c r="D15" s="209"/>
      <c r="E15" s="18"/>
      <c r="F15"/>
      <c r="G15"/>
      <c r="H15"/>
      <c r="I15"/>
      <c r="J15"/>
    </row>
    <row r="16" spans="2:10" x14ac:dyDescent="0.2">
      <c r="B16" s="19"/>
      <c r="C16" s="58" t="s">
        <v>170</v>
      </c>
      <c r="D16" s="47">
        <f>D7/(1-D8)</f>
        <v>17302.631578947367</v>
      </c>
      <c r="E16" s="23"/>
      <c r="F16"/>
      <c r="G16"/>
      <c r="H16"/>
      <c r="I16"/>
      <c r="J16"/>
    </row>
    <row r="17" spans="2:10" x14ac:dyDescent="0.2">
      <c r="B17" s="19"/>
      <c r="C17" s="58"/>
      <c r="D17" s="41"/>
      <c r="E17" s="23"/>
      <c r="F17"/>
      <c r="G17"/>
      <c r="H17"/>
      <c r="I17"/>
      <c r="J17"/>
    </row>
    <row r="18" spans="2:10" x14ac:dyDescent="0.2">
      <c r="B18" s="19"/>
      <c r="C18" s="58" t="s">
        <v>60</v>
      </c>
      <c r="D18" s="42">
        <f>D16+D9</f>
        <v>20762.631578947367</v>
      </c>
      <c r="E18" s="23"/>
      <c r="F18"/>
      <c r="G18"/>
      <c r="H18"/>
      <c r="I18"/>
      <c r="J18"/>
    </row>
    <row r="19" spans="2:10" x14ac:dyDescent="0.2">
      <c r="B19" s="19"/>
      <c r="C19" s="58"/>
      <c r="D19" s="42"/>
      <c r="E19" s="23"/>
      <c r="F19"/>
      <c r="G19"/>
      <c r="H19"/>
      <c r="I19"/>
      <c r="J19"/>
    </row>
    <row r="20" spans="2:10" x14ac:dyDescent="0.2">
      <c r="B20" s="19"/>
      <c r="C20" s="58" t="s">
        <v>190</v>
      </c>
      <c r="D20" s="42">
        <f>D18+D10</f>
        <v>25142.631578947367</v>
      </c>
      <c r="E20" s="23"/>
      <c r="F20"/>
      <c r="G20"/>
      <c r="H20"/>
      <c r="I20"/>
      <c r="J20"/>
    </row>
    <row r="21" spans="2:10" x14ac:dyDescent="0.2">
      <c r="B21" s="19"/>
      <c r="C21" s="58"/>
      <c r="D21" s="41"/>
      <c r="E21" s="23"/>
      <c r="F21"/>
      <c r="G21"/>
      <c r="H21"/>
      <c r="I21"/>
      <c r="J21"/>
    </row>
    <row r="22" spans="2:10" ht="15.75" x14ac:dyDescent="0.25">
      <c r="B22" s="19"/>
      <c r="C22" s="58" t="s">
        <v>171</v>
      </c>
      <c r="D22" s="211">
        <f>D20/D9</f>
        <v>7.2666565257073312</v>
      </c>
      <c r="E22" s="23"/>
      <c r="F22"/>
      <c r="G22"/>
      <c r="H22"/>
      <c r="I22"/>
      <c r="J22"/>
    </row>
    <row r="23" spans="2:10" ht="15.75" thickBot="1" x14ac:dyDescent="0.25">
      <c r="B23" s="30"/>
      <c r="C23" s="33"/>
      <c r="D23" s="210"/>
      <c r="E23" s="32"/>
      <c r="F23"/>
      <c r="G23"/>
      <c r="H23"/>
      <c r="I23"/>
      <c r="J2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21"/>
  <dimension ref="B1:S49"/>
  <sheetViews>
    <sheetView zoomScaleNormal="100" workbookViewId="0">
      <selection activeCell="C2" sqref="C2:F2"/>
    </sheetView>
  </sheetViews>
  <sheetFormatPr defaultRowHeight="15" x14ac:dyDescent="0.2"/>
  <cols>
    <col min="2" max="2" width="3.140625" customWidth="1"/>
    <col min="3" max="3" width="3" customWidth="1"/>
    <col min="4" max="5" width="3.140625" style="176" customWidth="1"/>
    <col min="6" max="6" width="7.7109375" customWidth="1"/>
    <col min="7" max="7" width="11.28515625" customWidth="1"/>
    <col min="8" max="8" width="11.28515625" style="2" customWidth="1"/>
    <col min="9" max="10" width="12.42578125" style="2" customWidth="1"/>
    <col min="11" max="11" width="3.140625" style="2" customWidth="1"/>
    <col min="12" max="12" width="12.42578125" style="2" customWidth="1"/>
    <col min="13" max="13" width="12.42578125" customWidth="1"/>
    <col min="14" max="14" width="11.5703125" style="2" customWidth="1"/>
    <col min="15" max="16" width="14.7109375" customWidth="1"/>
    <col min="17" max="17" width="3.7109375" customWidth="1"/>
    <col min="18" max="18" width="10.28515625" bestFit="1" customWidth="1"/>
    <col min="19" max="19" width="12.28515625" bestFit="1" customWidth="1"/>
  </cols>
  <sheetData>
    <row r="1" spans="2:19" ht="18" x14ac:dyDescent="0.25">
      <c r="C1" s="1" t="s">
        <v>98</v>
      </c>
    </row>
    <row r="2" spans="2:19" x14ac:dyDescent="0.2">
      <c r="C2" s="407" t="s">
        <v>152</v>
      </c>
      <c r="D2" s="407"/>
      <c r="E2" s="407"/>
      <c r="F2" s="407"/>
    </row>
    <row r="4" spans="2:19" x14ac:dyDescent="0.2">
      <c r="C4" s="3" t="s">
        <v>0</v>
      </c>
      <c r="D4" s="177"/>
      <c r="E4" s="177"/>
      <c r="F4" s="2"/>
      <c r="G4" s="2"/>
    </row>
    <row r="5" spans="2:19" ht="15.75" thickBot="1" x14ac:dyDescent="0.25">
      <c r="C5" s="4"/>
      <c r="D5" s="178"/>
      <c r="E5" s="177"/>
      <c r="F5" s="2"/>
      <c r="G5" s="2"/>
    </row>
    <row r="6" spans="2:19" x14ac:dyDescent="0.2">
      <c r="B6" s="384"/>
      <c r="C6" s="349"/>
      <c r="D6" s="370"/>
      <c r="E6" s="370"/>
      <c r="F6" s="371"/>
      <c r="G6" s="371"/>
      <c r="H6" s="341"/>
      <c r="I6" s="341"/>
      <c r="J6" s="341"/>
      <c r="K6" s="341"/>
      <c r="L6" s="341"/>
      <c r="M6" s="341"/>
      <c r="N6" s="341"/>
      <c r="O6" s="341"/>
      <c r="P6" s="341"/>
      <c r="Q6" s="350"/>
    </row>
    <row r="7" spans="2:19" x14ac:dyDescent="0.2">
      <c r="B7" s="385"/>
      <c r="C7" s="372"/>
      <c r="D7" s="373"/>
      <c r="E7" s="373"/>
      <c r="F7" s="374"/>
      <c r="G7" s="374"/>
      <c r="H7" s="337"/>
      <c r="I7" s="375">
        <v>2018</v>
      </c>
      <c r="J7" s="375">
        <v>2019</v>
      </c>
      <c r="K7" s="337"/>
      <c r="L7" s="337"/>
      <c r="M7" s="337"/>
      <c r="N7" s="337"/>
      <c r="O7" s="375">
        <v>2018</v>
      </c>
      <c r="P7" s="375">
        <v>2019</v>
      </c>
      <c r="Q7" s="352"/>
    </row>
    <row r="8" spans="2:19" x14ac:dyDescent="0.2">
      <c r="B8" s="385"/>
      <c r="C8" s="337" t="s">
        <v>3</v>
      </c>
      <c r="D8" s="373"/>
      <c r="E8" s="373"/>
      <c r="F8" s="374"/>
      <c r="G8" s="374"/>
      <c r="H8" s="337"/>
      <c r="I8" s="376"/>
      <c r="J8" s="376"/>
      <c r="K8" s="337"/>
      <c r="L8" s="337"/>
      <c r="M8" s="337" t="s">
        <v>1</v>
      </c>
      <c r="N8" s="337"/>
      <c r="O8" s="337"/>
      <c r="P8" s="337"/>
      <c r="Q8" s="352"/>
    </row>
    <row r="9" spans="2:19" x14ac:dyDescent="0.2">
      <c r="B9" s="385"/>
      <c r="C9" s="337"/>
      <c r="D9" s="337" t="s">
        <v>30</v>
      </c>
      <c r="E9" s="373"/>
      <c r="F9" s="374"/>
      <c r="G9" s="374"/>
      <c r="H9" s="337"/>
      <c r="I9" s="234">
        <v>11459</v>
      </c>
      <c r="J9" s="234">
        <v>14453</v>
      </c>
      <c r="K9" s="337"/>
      <c r="L9" s="337"/>
      <c r="M9" s="337" t="s">
        <v>209</v>
      </c>
      <c r="N9" s="337"/>
      <c r="O9" s="377">
        <v>58483</v>
      </c>
      <c r="P9" s="377">
        <v>66623</v>
      </c>
      <c r="Q9" s="352"/>
      <c r="S9" s="395"/>
    </row>
    <row r="10" spans="2:19" x14ac:dyDescent="0.2">
      <c r="B10" s="385"/>
      <c r="C10" s="337"/>
      <c r="D10" s="337" t="s">
        <v>31</v>
      </c>
      <c r="E10" s="373"/>
      <c r="F10" s="374"/>
      <c r="G10" s="374"/>
      <c r="H10" s="337"/>
      <c r="I10" s="378">
        <v>29247</v>
      </c>
      <c r="J10" s="378">
        <v>33304</v>
      </c>
      <c r="K10" s="337"/>
      <c r="L10" s="337"/>
      <c r="M10" s="337" t="s">
        <v>210</v>
      </c>
      <c r="N10" s="337"/>
      <c r="O10" s="379">
        <v>24973</v>
      </c>
      <c r="P10" s="379">
        <v>24735</v>
      </c>
      <c r="Q10" s="352"/>
      <c r="S10" s="395"/>
    </row>
    <row r="11" spans="2:19" x14ac:dyDescent="0.2">
      <c r="B11" s="385"/>
      <c r="C11" s="337"/>
      <c r="D11" s="337" t="s">
        <v>32</v>
      </c>
      <c r="E11" s="373"/>
      <c r="F11" s="374"/>
      <c r="G11" s="374"/>
      <c r="H11" s="337"/>
      <c r="I11" s="379">
        <v>52655</v>
      </c>
      <c r="J11" s="379">
        <v>60689</v>
      </c>
      <c r="K11" s="337"/>
      <c r="L11" s="337"/>
      <c r="M11" s="337" t="s">
        <v>211</v>
      </c>
      <c r="N11" s="337"/>
      <c r="O11" s="387">
        <f>SUM(O9:O10)</f>
        <v>83456</v>
      </c>
      <c r="P11" s="387">
        <f>SUM(P9:P10)</f>
        <v>91358</v>
      </c>
      <c r="Q11" s="352"/>
      <c r="S11" s="395"/>
    </row>
    <row r="12" spans="2:19" x14ac:dyDescent="0.2">
      <c r="B12" s="385"/>
      <c r="C12" s="337"/>
      <c r="D12" s="337"/>
      <c r="E12" s="373" t="s">
        <v>13</v>
      </c>
      <c r="F12" s="374"/>
      <c r="G12" s="374"/>
      <c r="H12" s="337"/>
      <c r="I12" s="387">
        <f>SUM(I9:I11)</f>
        <v>93361</v>
      </c>
      <c r="J12" s="387">
        <f>SUM(J9:J11)</f>
        <v>108446</v>
      </c>
      <c r="K12" s="337"/>
      <c r="L12" s="337"/>
      <c r="M12" s="337"/>
      <c r="N12" s="337"/>
      <c r="O12" s="337"/>
      <c r="P12" s="337"/>
      <c r="Q12" s="352"/>
      <c r="S12" s="395"/>
    </row>
    <row r="13" spans="2:19" x14ac:dyDescent="0.2">
      <c r="B13" s="385"/>
      <c r="C13" s="337"/>
      <c r="D13" s="337"/>
      <c r="E13" s="373"/>
      <c r="F13" s="374"/>
      <c r="G13" s="374"/>
      <c r="H13" s="337"/>
      <c r="I13" s="378"/>
      <c r="J13" s="378"/>
      <c r="K13" s="337"/>
      <c r="L13" s="337"/>
      <c r="M13" s="337" t="s">
        <v>26</v>
      </c>
      <c r="N13" s="380"/>
      <c r="O13" s="377">
        <v>34500</v>
      </c>
      <c r="P13" s="377">
        <v>44700</v>
      </c>
      <c r="Q13" s="388"/>
      <c r="S13" s="395"/>
    </row>
    <row r="14" spans="2:19" x14ac:dyDescent="0.2">
      <c r="B14" s="385"/>
      <c r="C14" s="339"/>
      <c r="D14" s="381"/>
      <c r="E14" s="381"/>
      <c r="F14" s="339"/>
      <c r="G14" s="339"/>
      <c r="H14" s="338"/>
      <c r="I14" s="338"/>
      <c r="J14" s="338"/>
      <c r="K14" s="337"/>
      <c r="L14" s="337"/>
      <c r="M14" s="337"/>
      <c r="N14" s="337"/>
      <c r="O14" s="337"/>
      <c r="P14" s="337"/>
      <c r="Q14" s="352"/>
      <c r="S14" s="395"/>
    </row>
    <row r="15" spans="2:19" x14ac:dyDescent="0.2">
      <c r="B15" s="385"/>
      <c r="C15" s="337"/>
      <c r="D15" s="380"/>
      <c r="E15" s="373"/>
      <c r="F15" s="374"/>
      <c r="G15" s="374"/>
      <c r="H15" s="337"/>
      <c r="I15" s="337"/>
      <c r="J15" s="337"/>
      <c r="K15" s="337"/>
      <c r="L15" s="337"/>
      <c r="M15" s="337" t="s">
        <v>38</v>
      </c>
      <c r="N15" s="337"/>
      <c r="O15" s="337"/>
      <c r="P15" s="337"/>
      <c r="Q15" s="352"/>
      <c r="S15" s="395"/>
    </row>
    <row r="16" spans="2:19" x14ac:dyDescent="0.2">
      <c r="B16" s="385"/>
      <c r="C16" s="337"/>
      <c r="D16" s="380"/>
      <c r="E16" s="373"/>
      <c r="F16" s="374"/>
      <c r="G16" s="374"/>
      <c r="H16" s="337"/>
      <c r="I16" s="337"/>
      <c r="J16" s="337"/>
      <c r="K16" s="337"/>
      <c r="L16" s="337"/>
      <c r="M16" s="337" t="s">
        <v>214</v>
      </c>
      <c r="N16" s="337"/>
      <c r="O16" s="337"/>
      <c r="P16" s="337"/>
      <c r="Q16" s="352"/>
      <c r="S16" s="395"/>
    </row>
    <row r="17" spans="2:19" x14ac:dyDescent="0.2">
      <c r="B17" s="385"/>
      <c r="C17" s="337"/>
      <c r="D17" s="380"/>
      <c r="E17" s="373"/>
      <c r="F17" s="374"/>
      <c r="G17" s="374"/>
      <c r="H17" s="337"/>
      <c r="I17" s="337"/>
      <c r="J17" s="337"/>
      <c r="K17" s="337"/>
      <c r="L17" s="337"/>
      <c r="M17" s="337" t="s">
        <v>213</v>
      </c>
      <c r="N17" s="337"/>
      <c r="O17" s="377">
        <v>54000</v>
      </c>
      <c r="P17" s="377">
        <v>56500</v>
      </c>
      <c r="Q17" s="352"/>
      <c r="S17" s="395"/>
    </row>
    <row r="18" spans="2:19" x14ac:dyDescent="0.2">
      <c r="B18" s="385"/>
      <c r="C18" s="337" t="s">
        <v>33</v>
      </c>
      <c r="D18" s="380"/>
      <c r="E18" s="373"/>
      <c r="F18" s="374"/>
      <c r="G18" s="374"/>
      <c r="H18" s="337"/>
      <c r="I18" s="389">
        <v>301978</v>
      </c>
      <c r="J18" s="389">
        <v>353330</v>
      </c>
      <c r="K18" s="337"/>
      <c r="L18" s="337"/>
      <c r="M18" s="337" t="s">
        <v>212</v>
      </c>
      <c r="N18" s="337"/>
      <c r="O18" s="379">
        <v>223383</v>
      </c>
      <c r="P18" s="379">
        <v>269218</v>
      </c>
      <c r="Q18" s="352"/>
      <c r="S18" s="395"/>
    </row>
    <row r="19" spans="2:19" x14ac:dyDescent="0.2">
      <c r="B19" s="385"/>
      <c r="C19" s="337"/>
      <c r="D19" s="380"/>
      <c r="E19" s="373"/>
      <c r="F19" s="374"/>
      <c r="G19" s="374"/>
      <c r="H19" s="337"/>
      <c r="I19" s="337"/>
      <c r="J19" s="337"/>
      <c r="K19" s="337"/>
      <c r="L19" s="337"/>
      <c r="M19" s="337" t="s">
        <v>211</v>
      </c>
      <c r="N19" s="337"/>
      <c r="O19" s="387">
        <f>SUM(O17:O18)</f>
        <v>277383</v>
      </c>
      <c r="P19" s="387">
        <f>SUM(P17:P18)</f>
        <v>325718</v>
      </c>
      <c r="Q19" s="352"/>
      <c r="S19" s="395"/>
    </row>
    <row r="20" spans="2:19" x14ac:dyDescent="0.2">
      <c r="B20" s="385"/>
      <c r="C20" s="337"/>
      <c r="D20" s="380"/>
      <c r="E20" s="373"/>
      <c r="F20" s="374"/>
      <c r="G20" s="374"/>
      <c r="H20" s="337"/>
      <c r="I20" s="337"/>
      <c r="J20" s="337"/>
      <c r="K20" s="337"/>
      <c r="L20" s="337"/>
      <c r="M20" s="337"/>
      <c r="N20" s="337"/>
      <c r="O20" s="337"/>
      <c r="P20" s="337"/>
      <c r="Q20" s="352"/>
      <c r="S20" s="395"/>
    </row>
    <row r="21" spans="2:19" ht="15.75" thickBot="1" x14ac:dyDescent="0.25">
      <c r="B21" s="385"/>
      <c r="C21" s="337" t="s">
        <v>40</v>
      </c>
      <c r="D21" s="380"/>
      <c r="E21" s="373"/>
      <c r="F21" s="374"/>
      <c r="G21" s="374"/>
      <c r="H21" s="337"/>
      <c r="I21" s="391">
        <f>I12+I18</f>
        <v>395339</v>
      </c>
      <c r="J21" s="391">
        <f>J12+J18</f>
        <v>461776</v>
      </c>
      <c r="K21" s="390"/>
      <c r="L21" s="337"/>
      <c r="M21" s="337" t="s">
        <v>189</v>
      </c>
      <c r="N21" s="337"/>
      <c r="O21" s="354">
        <f>O11+O13+O19</f>
        <v>395339</v>
      </c>
      <c r="P21" s="354">
        <f>P11+P13+P19</f>
        <v>461776</v>
      </c>
      <c r="Q21" s="352"/>
      <c r="S21" s="395"/>
    </row>
    <row r="22" spans="2:19" ht="16.5" thickTop="1" thickBot="1" x14ac:dyDescent="0.25">
      <c r="B22" s="386"/>
      <c r="C22" s="344"/>
      <c r="D22" s="382"/>
      <c r="E22" s="382"/>
      <c r="F22" s="383"/>
      <c r="G22" s="383"/>
      <c r="H22" s="344"/>
      <c r="I22" s="344"/>
      <c r="J22" s="344"/>
      <c r="K22" s="344"/>
      <c r="L22" s="344"/>
      <c r="M22" s="344"/>
      <c r="N22" s="344"/>
      <c r="O22" s="344"/>
      <c r="P22" s="344"/>
      <c r="Q22" s="357"/>
    </row>
    <row r="23" spans="2:19" x14ac:dyDescent="0.2">
      <c r="C23" s="2"/>
      <c r="D23" s="177"/>
      <c r="E23" s="177"/>
      <c r="F23" s="2"/>
      <c r="G23" s="2"/>
      <c r="S23" s="396"/>
    </row>
    <row r="24" spans="2:19" x14ac:dyDescent="0.2">
      <c r="C24" s="3" t="s">
        <v>2</v>
      </c>
      <c r="D24" s="177"/>
      <c r="E24" s="177"/>
      <c r="F24" s="2"/>
      <c r="G24" s="2"/>
    </row>
    <row r="25" spans="2:19" ht="15.75" thickBot="1" x14ac:dyDescent="0.25">
      <c r="C25" s="4"/>
      <c r="D25" s="177"/>
      <c r="E25" s="177"/>
      <c r="F25" s="2"/>
      <c r="G25" s="2"/>
      <c r="R25" s="396"/>
    </row>
    <row r="26" spans="2:19" x14ac:dyDescent="0.2">
      <c r="B26" s="16"/>
      <c r="C26" s="17"/>
      <c r="D26" s="179"/>
      <c r="E26" s="179"/>
      <c r="F26" s="180"/>
      <c r="G26" s="180"/>
      <c r="H26" s="17"/>
      <c r="I26" s="17"/>
      <c r="J26" s="17"/>
      <c r="K26" s="17"/>
      <c r="L26" s="17"/>
      <c r="M26" s="63"/>
      <c r="N26" s="17"/>
      <c r="O26" s="18"/>
    </row>
    <row r="27" spans="2:19" ht="30.75" x14ac:dyDescent="0.25">
      <c r="B27" s="19"/>
      <c r="C27" s="36"/>
      <c r="D27" s="181"/>
      <c r="E27" s="182"/>
      <c r="F27" s="183"/>
      <c r="G27" s="184"/>
      <c r="H27" s="185"/>
      <c r="I27" s="186">
        <v>2018</v>
      </c>
      <c r="J27" s="203" t="s">
        <v>153</v>
      </c>
      <c r="K27" s="187"/>
      <c r="L27" s="188">
        <v>2019</v>
      </c>
      <c r="M27" s="204" t="s">
        <v>153</v>
      </c>
      <c r="N27" s="204" t="s">
        <v>154</v>
      </c>
      <c r="O27" s="23"/>
    </row>
    <row r="28" spans="2:19" x14ac:dyDescent="0.2">
      <c r="B28" s="19"/>
      <c r="C28" s="58"/>
      <c r="D28" s="151"/>
      <c r="E28" s="155"/>
      <c r="F28" s="189"/>
      <c r="G28" s="190" t="s">
        <v>6</v>
      </c>
      <c r="H28" s="191"/>
      <c r="I28" s="191"/>
      <c r="J28" s="191"/>
      <c r="K28" s="191"/>
      <c r="L28" s="20"/>
      <c r="M28" s="21"/>
      <c r="N28" s="20"/>
      <c r="O28" s="23"/>
    </row>
    <row r="29" spans="2:19" x14ac:dyDescent="0.2">
      <c r="B29" s="19"/>
      <c r="C29" s="58" t="s">
        <v>3</v>
      </c>
      <c r="D29" s="151"/>
      <c r="E29" s="155"/>
      <c r="F29" s="189"/>
      <c r="G29" s="190"/>
      <c r="H29" s="191"/>
      <c r="I29" s="191"/>
      <c r="J29" s="191"/>
      <c r="K29" s="191"/>
      <c r="L29" s="20"/>
      <c r="M29" s="21"/>
      <c r="N29" s="20"/>
      <c r="O29" s="23"/>
    </row>
    <row r="30" spans="2:19" x14ac:dyDescent="0.2">
      <c r="B30" s="19"/>
      <c r="C30" s="58"/>
      <c r="D30" s="151" t="s">
        <v>30</v>
      </c>
      <c r="E30" s="155"/>
      <c r="F30" s="189"/>
      <c r="G30" s="190"/>
      <c r="H30" s="191"/>
      <c r="I30" s="222">
        <f>I9</f>
        <v>11459</v>
      </c>
      <c r="J30" s="67">
        <f>I30/I36</f>
        <v>2.8985250633001045E-2</v>
      </c>
      <c r="K30" s="191"/>
      <c r="L30" s="222">
        <f>J9</f>
        <v>14453</v>
      </c>
      <c r="M30" s="67">
        <f>L30/L36</f>
        <v>3.1298724922906342E-2</v>
      </c>
      <c r="N30" s="74">
        <f>L30/I30</f>
        <v>1.2612793437472729</v>
      </c>
      <c r="O30" s="23"/>
    </row>
    <row r="31" spans="2:19" x14ac:dyDescent="0.2">
      <c r="B31" s="19"/>
      <c r="C31" s="58"/>
      <c r="D31" s="151" t="s">
        <v>31</v>
      </c>
      <c r="E31" s="155"/>
      <c r="F31" s="189"/>
      <c r="G31" s="190"/>
      <c r="H31" s="191"/>
      <c r="I31" s="229">
        <f>I10</f>
        <v>29247</v>
      </c>
      <c r="J31" s="67">
        <f>I31/I36</f>
        <v>7.3979546667543555E-2</v>
      </c>
      <c r="K31" s="191"/>
      <c r="L31" s="223">
        <f>J10</f>
        <v>33304</v>
      </c>
      <c r="M31" s="67">
        <f>L31/L36</f>
        <v>7.2121548109906106E-2</v>
      </c>
      <c r="N31" s="74">
        <f>L31/I31</f>
        <v>1.1387150818887408</v>
      </c>
      <c r="O31" s="23"/>
    </row>
    <row r="32" spans="2:19" x14ac:dyDescent="0.2">
      <c r="B32" s="19"/>
      <c r="C32" s="58"/>
      <c r="D32" s="151" t="s">
        <v>32</v>
      </c>
      <c r="E32" s="155"/>
      <c r="F32" s="189"/>
      <c r="G32" s="190"/>
      <c r="H32" s="191"/>
      <c r="I32" s="226">
        <f>I11</f>
        <v>52655</v>
      </c>
      <c r="J32" s="192">
        <f>I32/I36</f>
        <v>0.13318949053849988</v>
      </c>
      <c r="K32" s="185"/>
      <c r="L32" s="224">
        <f>J11</f>
        <v>60689</v>
      </c>
      <c r="M32" s="192">
        <f>L32/L36</f>
        <v>0.13142519316724993</v>
      </c>
      <c r="N32" s="74">
        <f>L32/I32</f>
        <v>1.1525781027442787</v>
      </c>
      <c r="O32" s="23"/>
    </row>
    <row r="33" spans="2:15" x14ac:dyDescent="0.2">
      <c r="B33" s="19"/>
      <c r="C33" s="58"/>
      <c r="D33" s="151"/>
      <c r="E33" s="155" t="s">
        <v>13</v>
      </c>
      <c r="F33" s="189"/>
      <c r="G33" s="190"/>
      <c r="H33" s="191"/>
      <c r="I33" s="222">
        <f>I30+I31+I32</f>
        <v>93361</v>
      </c>
      <c r="J33" s="67">
        <f>J30+J31+J32</f>
        <v>0.23615428783904446</v>
      </c>
      <c r="K33" s="191"/>
      <c r="L33" s="222">
        <f>L30+L31+L32</f>
        <v>108446</v>
      </c>
      <c r="M33" s="67">
        <f>M30+M31+M32</f>
        <v>0.23484546620006239</v>
      </c>
      <c r="N33" s="74">
        <f>L33/I33</f>
        <v>1.1615771039299065</v>
      </c>
      <c r="O33" s="23"/>
    </row>
    <row r="34" spans="2:15" ht="15.75" x14ac:dyDescent="0.25">
      <c r="B34" s="19"/>
      <c r="C34" s="58" t="s">
        <v>25</v>
      </c>
      <c r="D34" s="151"/>
      <c r="E34" s="155"/>
      <c r="F34" s="189"/>
      <c r="G34" s="190"/>
      <c r="H34" s="191"/>
      <c r="I34" s="230"/>
      <c r="J34" s="67"/>
      <c r="K34" s="191"/>
      <c r="L34" s="225"/>
      <c r="M34" s="67"/>
      <c r="N34" s="74"/>
      <c r="O34" s="23"/>
    </row>
    <row r="35" spans="2:15" x14ac:dyDescent="0.2">
      <c r="B35" s="19"/>
      <c r="C35" s="58"/>
      <c r="D35" s="151" t="s">
        <v>33</v>
      </c>
      <c r="E35" s="155"/>
      <c r="F35" s="189"/>
      <c r="G35" s="190"/>
      <c r="H35" s="191"/>
      <c r="I35" s="226">
        <f>I18</f>
        <v>301978</v>
      </c>
      <c r="J35" s="192">
        <f>I35/I36</f>
        <v>0.76384571216095554</v>
      </c>
      <c r="K35" s="185"/>
      <c r="L35" s="226">
        <f>J18</f>
        <v>353330</v>
      </c>
      <c r="M35" s="192">
        <f>L35/L36</f>
        <v>0.76515453379993759</v>
      </c>
      <c r="N35" s="74">
        <f>L35/I35</f>
        <v>1.170052123002338</v>
      </c>
      <c r="O35" s="23"/>
    </row>
    <row r="36" spans="2:15" ht="15.75" thickBot="1" x14ac:dyDescent="0.25">
      <c r="B36" s="19"/>
      <c r="C36" s="58" t="s">
        <v>40</v>
      </c>
      <c r="D36" s="151"/>
      <c r="E36" s="155"/>
      <c r="F36" s="189"/>
      <c r="G36" s="190"/>
      <c r="H36" s="191"/>
      <c r="I36" s="227">
        <f>I33+I35</f>
        <v>395339</v>
      </c>
      <c r="J36" s="193">
        <f>J33+J35</f>
        <v>1</v>
      </c>
      <c r="K36" s="194"/>
      <c r="L36" s="227">
        <f>L33+L35</f>
        <v>461776</v>
      </c>
      <c r="M36" s="193">
        <f>M33+M35</f>
        <v>1</v>
      </c>
      <c r="N36" s="74">
        <f>L36/I36</f>
        <v>1.1680507109088656</v>
      </c>
      <c r="O36" s="23"/>
    </row>
    <row r="37" spans="2:15" ht="16.5" thickTop="1" x14ac:dyDescent="0.25">
      <c r="B37" s="19"/>
      <c r="C37" s="58"/>
      <c r="D37" s="151"/>
      <c r="E37" s="155"/>
      <c r="F37" s="189"/>
      <c r="G37" s="190"/>
      <c r="H37" s="43"/>
      <c r="I37" s="231"/>
      <c r="J37" s="67"/>
      <c r="K37" s="43"/>
      <c r="L37" s="228"/>
      <c r="M37" s="67"/>
      <c r="N37" s="74"/>
      <c r="O37" s="23"/>
    </row>
    <row r="38" spans="2:15" ht="15.75" x14ac:dyDescent="0.25">
      <c r="B38" s="19"/>
      <c r="C38" s="58"/>
      <c r="D38" s="151"/>
      <c r="E38" s="155" t="s">
        <v>66</v>
      </c>
      <c r="F38" s="189"/>
      <c r="G38" s="190"/>
      <c r="H38" s="43"/>
      <c r="I38" s="231"/>
      <c r="J38" s="67"/>
      <c r="K38" s="43"/>
      <c r="L38" s="228"/>
      <c r="M38" s="67"/>
      <c r="N38" s="74"/>
      <c r="O38" s="23"/>
    </row>
    <row r="39" spans="2:15" ht="15.75" x14ac:dyDescent="0.25">
      <c r="B39" s="19"/>
      <c r="C39" s="58" t="s">
        <v>1</v>
      </c>
      <c r="D39" s="151"/>
      <c r="E39" s="155"/>
      <c r="F39" s="189"/>
      <c r="G39" s="190"/>
      <c r="H39" s="43"/>
      <c r="I39" s="231"/>
      <c r="J39" s="67"/>
      <c r="K39" s="43"/>
      <c r="L39" s="228"/>
      <c r="M39" s="67"/>
      <c r="N39" s="74"/>
      <c r="O39" s="23"/>
    </row>
    <row r="40" spans="2:15" ht="15.75" x14ac:dyDescent="0.25">
      <c r="B40" s="19"/>
      <c r="C40" s="58"/>
      <c r="D40" s="151" t="s">
        <v>34</v>
      </c>
      <c r="E40" s="155"/>
      <c r="F40" s="189"/>
      <c r="G40" s="190"/>
      <c r="H40" s="43"/>
      <c r="I40" s="222">
        <f>O9</f>
        <v>58483</v>
      </c>
      <c r="J40" s="67">
        <f>I40/I48</f>
        <v>0.14793126911334323</v>
      </c>
      <c r="K40" s="43"/>
      <c r="L40" s="222">
        <f>P9</f>
        <v>66623</v>
      </c>
      <c r="M40" s="67">
        <f>L40/L48</f>
        <v>0.14427557950174977</v>
      </c>
      <c r="N40" s="74">
        <f>L40/I40</f>
        <v>1.1391857462852453</v>
      </c>
      <c r="O40" s="23"/>
    </row>
    <row r="41" spans="2:15" ht="15.75" x14ac:dyDescent="0.25">
      <c r="B41" s="19"/>
      <c r="C41" s="58"/>
      <c r="D41" s="151" t="s">
        <v>35</v>
      </c>
      <c r="E41" s="155"/>
      <c r="F41" s="189"/>
      <c r="G41" s="190"/>
      <c r="H41" s="43"/>
      <c r="I41" s="226">
        <f>O10</f>
        <v>24973</v>
      </c>
      <c r="J41" s="192">
        <f>I41/I48</f>
        <v>6.3168571782697885E-2</v>
      </c>
      <c r="K41" s="195"/>
      <c r="L41" s="224">
        <f>P10</f>
        <v>24735</v>
      </c>
      <c r="M41" s="192">
        <f>L41/L48</f>
        <v>5.356493191504106E-2</v>
      </c>
      <c r="N41" s="74">
        <f>L41/I41</f>
        <v>0.99046970728386663</v>
      </c>
      <c r="O41" s="23"/>
    </row>
    <row r="42" spans="2:15" ht="15.75" x14ac:dyDescent="0.25">
      <c r="B42" s="19"/>
      <c r="C42" s="58"/>
      <c r="D42" s="151"/>
      <c r="E42" s="155" t="s">
        <v>13</v>
      </c>
      <c r="F42" s="189"/>
      <c r="G42" s="190"/>
      <c r="H42" s="43"/>
      <c r="I42" s="222">
        <f>I40+I41</f>
        <v>83456</v>
      </c>
      <c r="J42" s="67">
        <f>J41+J40</f>
        <v>0.21109984089604111</v>
      </c>
      <c r="K42" s="43"/>
      <c r="L42" s="222">
        <f>L40+L41</f>
        <v>91358</v>
      </c>
      <c r="M42" s="67">
        <f>M41+M40</f>
        <v>0.19784051141679082</v>
      </c>
      <c r="N42" s="74">
        <f>L42/I42</f>
        <v>1.0946846242331287</v>
      </c>
      <c r="O42" s="23"/>
    </row>
    <row r="43" spans="2:15" ht="15.75" x14ac:dyDescent="0.25">
      <c r="B43" s="19"/>
      <c r="C43" s="58" t="s">
        <v>26</v>
      </c>
      <c r="D43" s="151"/>
      <c r="E43" s="155"/>
      <c r="F43" s="189"/>
      <c r="G43" s="190"/>
      <c r="H43" s="43"/>
      <c r="I43" s="229">
        <f>O13</f>
        <v>34500</v>
      </c>
      <c r="J43" s="67">
        <f>I43/I48</f>
        <v>8.7266877287593692E-2</v>
      </c>
      <c r="K43" s="43"/>
      <c r="L43" s="223">
        <f>P13</f>
        <v>44700</v>
      </c>
      <c r="M43" s="67">
        <f>L43/L48</f>
        <v>9.6800180173937142E-2</v>
      </c>
      <c r="N43" s="74">
        <f>L43/I43</f>
        <v>1.2956521739130435</v>
      </c>
      <c r="O43" s="23"/>
    </row>
    <row r="44" spans="2:15" ht="15.75" x14ac:dyDescent="0.25">
      <c r="B44" s="19"/>
      <c r="C44" s="58" t="s">
        <v>38</v>
      </c>
      <c r="D44" s="151"/>
      <c r="E44" s="155"/>
      <c r="F44" s="189"/>
      <c r="G44" s="190"/>
      <c r="H44" s="43"/>
      <c r="I44" s="222"/>
      <c r="J44" s="67"/>
      <c r="K44" s="43"/>
      <c r="L44" s="228"/>
      <c r="M44" s="67"/>
      <c r="N44" s="74"/>
      <c r="O44" s="23"/>
    </row>
    <row r="45" spans="2:15" ht="15.75" x14ac:dyDescent="0.25">
      <c r="B45" s="19"/>
      <c r="C45" s="58"/>
      <c r="D45" s="151" t="s">
        <v>150</v>
      </c>
      <c r="E45" s="155"/>
      <c r="F45" s="189"/>
      <c r="G45" s="190"/>
      <c r="H45" s="43"/>
      <c r="I45" s="222">
        <f>O17</f>
        <v>54000</v>
      </c>
      <c r="J45" s="67">
        <f>I45/I48</f>
        <v>0.13659163401536403</v>
      </c>
      <c r="K45" s="43"/>
      <c r="L45" s="222">
        <f>P17</f>
        <v>56500</v>
      </c>
      <c r="M45" s="67">
        <f>L45/L48</f>
        <v>0.12235369529815322</v>
      </c>
      <c r="N45" s="74">
        <f>L45/I45</f>
        <v>1.0462962962962963</v>
      </c>
      <c r="O45" s="23"/>
    </row>
    <row r="46" spans="2:15" ht="15.75" x14ac:dyDescent="0.25">
      <c r="B46" s="19"/>
      <c r="C46" s="58"/>
      <c r="D46" s="151" t="s">
        <v>136</v>
      </c>
      <c r="E46" s="155"/>
      <c r="F46" s="189"/>
      <c r="G46" s="190"/>
      <c r="H46" s="43"/>
      <c r="I46" s="226">
        <f>O18</f>
        <v>223383</v>
      </c>
      <c r="J46" s="192">
        <f>I46/I48</f>
        <v>0.56504164780100119</v>
      </c>
      <c r="K46" s="195"/>
      <c r="L46" s="224">
        <f>P18</f>
        <v>269218</v>
      </c>
      <c r="M46" s="192">
        <f>L46/L48</f>
        <v>0.58300561311111876</v>
      </c>
      <c r="N46" s="74">
        <f>L46/I46</f>
        <v>1.2051857124311161</v>
      </c>
      <c r="O46" s="23"/>
    </row>
    <row r="47" spans="2:15" ht="15.75" x14ac:dyDescent="0.25">
      <c r="B47" s="19"/>
      <c r="C47" s="58"/>
      <c r="D47" s="151"/>
      <c r="E47" s="155" t="s">
        <v>13</v>
      </c>
      <c r="F47" s="189"/>
      <c r="G47" s="190"/>
      <c r="H47" s="43"/>
      <c r="I47" s="82">
        <f>I45+I46</f>
        <v>277383</v>
      </c>
      <c r="J47" s="196">
        <f>J45+J46</f>
        <v>0.7016332818163652</v>
      </c>
      <c r="K47" s="197"/>
      <c r="L47" s="82">
        <f>L45+L46</f>
        <v>325718</v>
      </c>
      <c r="M47" s="196">
        <f>M45+M46</f>
        <v>0.70535930840927197</v>
      </c>
      <c r="N47" s="74">
        <f>L47/I47</f>
        <v>1.1742536492863658</v>
      </c>
      <c r="O47" s="23"/>
    </row>
    <row r="48" spans="2:15" ht="16.5" thickBot="1" x14ac:dyDescent="0.3">
      <c r="B48" s="19"/>
      <c r="C48" s="58" t="s">
        <v>151</v>
      </c>
      <c r="D48" s="151"/>
      <c r="E48" s="155"/>
      <c r="F48" s="189"/>
      <c r="G48" s="190"/>
      <c r="H48" s="43"/>
      <c r="I48" s="40">
        <f>I47+I43+I42</f>
        <v>395339</v>
      </c>
      <c r="J48" s="193">
        <f>J42+J43+J47</f>
        <v>1</v>
      </c>
      <c r="K48" s="198"/>
      <c r="L48" s="40">
        <f>L47+L43+L42</f>
        <v>461776</v>
      </c>
      <c r="M48" s="193">
        <f>M42+M43+M47</f>
        <v>1</v>
      </c>
      <c r="N48" s="74">
        <f>L48/I48</f>
        <v>1.1680507109088656</v>
      </c>
      <c r="O48" s="23"/>
    </row>
    <row r="49" spans="2:15" ht="16.5" thickTop="1" thickBot="1" x14ac:dyDescent="0.25">
      <c r="B49" s="30"/>
      <c r="C49" s="33"/>
      <c r="D49" s="199"/>
      <c r="E49" s="200"/>
      <c r="F49" s="201"/>
      <c r="G49" s="202"/>
      <c r="H49" s="153"/>
      <c r="I49" s="153"/>
      <c r="J49" s="153"/>
      <c r="K49" s="153"/>
      <c r="L49" s="33"/>
      <c r="M49" s="31"/>
      <c r="N49" s="33"/>
      <c r="O49" s="32"/>
    </row>
  </sheetData>
  <mergeCells count="1">
    <mergeCell ref="C2:F2"/>
  </mergeCells>
  <phoneticPr fontId="0" type="noConversion"/>
  <pageMargins left="0.75" right="0.75" top="1" bottom="1" header="0.5" footer="0.5"/>
  <pageSetup scale="70"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"/>
  <dimension ref="A1:IU28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4.28515625" customWidth="1"/>
    <col min="4" max="4" width="15.5703125" style="2" bestFit="1" customWidth="1"/>
    <col min="5" max="5" width="3.140625" style="59" customWidth="1"/>
    <col min="6" max="7" width="9.140625" customWidth="1"/>
  </cols>
  <sheetData>
    <row r="1" spans="1:255" ht="18" x14ac:dyDescent="0.25">
      <c r="C1" s="1" t="s">
        <v>98</v>
      </c>
    </row>
    <row r="2" spans="1:255" x14ac:dyDescent="0.2">
      <c r="C2" s="2" t="s">
        <v>149</v>
      </c>
    </row>
    <row r="4" spans="1:255" x14ac:dyDescent="0.2">
      <c r="C4" s="3" t="s">
        <v>0</v>
      </c>
    </row>
    <row r="5" spans="1:255" ht="15.75" thickBot="1" x14ac:dyDescent="0.25">
      <c r="C5" s="4"/>
      <c r="D5" s="5"/>
    </row>
    <row r="6" spans="1:255" x14ac:dyDescent="0.2">
      <c r="B6" s="6"/>
      <c r="C6" s="7"/>
      <c r="D6" s="8"/>
      <c r="E6" s="60"/>
    </row>
    <row r="7" spans="1:255" x14ac:dyDescent="0.2">
      <c r="B7" s="10"/>
      <c r="C7" s="11" t="s">
        <v>52</v>
      </c>
      <c r="D7" s="104">
        <v>0.9</v>
      </c>
      <c r="E7" s="61"/>
    </row>
    <row r="8" spans="1:255" x14ac:dyDescent="0.2">
      <c r="B8" s="10"/>
      <c r="C8" s="11" t="s">
        <v>53</v>
      </c>
      <c r="D8" s="102">
        <v>530000</v>
      </c>
      <c r="E8" s="61"/>
    </row>
    <row r="9" spans="1:255" s="70" customFormat="1" x14ac:dyDescent="0.2">
      <c r="A9" s="45"/>
      <c r="B9" s="72">
        <v>190000</v>
      </c>
      <c r="C9" s="11" t="s">
        <v>25</v>
      </c>
      <c r="D9" s="232">
        <v>620000</v>
      </c>
      <c r="E9" s="12"/>
      <c r="F9" s="69"/>
      <c r="G9" s="69"/>
      <c r="H9" s="45"/>
      <c r="I9" s="69"/>
      <c r="J9" s="45"/>
      <c r="K9" s="69"/>
      <c r="L9" s="45"/>
      <c r="M9" s="69"/>
      <c r="N9" s="45"/>
      <c r="O9" s="69"/>
      <c r="P9" s="45"/>
      <c r="Q9" s="69"/>
      <c r="R9" s="45"/>
      <c r="S9" s="69"/>
      <c r="T9" s="45"/>
      <c r="U9" s="69"/>
      <c r="V9" s="45"/>
      <c r="W9" s="69"/>
      <c r="X9" s="45"/>
      <c r="Y9" s="69"/>
      <c r="Z9" s="45"/>
      <c r="AA9" s="69"/>
      <c r="AB9" s="45"/>
      <c r="AC9" s="69"/>
      <c r="AD9" s="45"/>
      <c r="AE9" s="69"/>
      <c r="AF9" s="45"/>
      <c r="AG9" s="69"/>
      <c r="AH9" s="45"/>
      <c r="AI9" s="69"/>
      <c r="AJ9" s="45"/>
      <c r="AK9" s="69"/>
      <c r="AL9" s="45"/>
      <c r="AM9" s="69"/>
      <c r="AN9" s="45"/>
      <c r="AO9" s="69"/>
      <c r="AP9" s="45"/>
      <c r="AQ9" s="69"/>
      <c r="AR9" s="45"/>
      <c r="AS9" s="69"/>
      <c r="AT9" s="45"/>
      <c r="AU9" s="69"/>
      <c r="AV9" s="45"/>
      <c r="AW9" s="69"/>
      <c r="AX9" s="45"/>
      <c r="AY9" s="69"/>
      <c r="AZ9" s="45"/>
      <c r="BA9" s="69"/>
      <c r="BB9" s="45"/>
      <c r="BC9" s="69"/>
      <c r="BD9" s="45"/>
      <c r="BE9" s="69"/>
      <c r="BF9" s="45"/>
      <c r="BG9" s="69"/>
      <c r="BH9" s="45"/>
      <c r="BI9" s="69"/>
      <c r="BJ9" s="45"/>
      <c r="BK9" s="69"/>
      <c r="BL9" s="45"/>
      <c r="BM9" s="69"/>
      <c r="BN9" s="45"/>
      <c r="BO9" s="69"/>
      <c r="BP9" s="45"/>
      <c r="BQ9" s="69"/>
      <c r="BR9" s="45"/>
      <c r="BS9" s="69"/>
      <c r="BT9" s="45"/>
      <c r="BU9" s="69"/>
      <c r="BV9" s="45"/>
      <c r="BW9" s="69"/>
      <c r="BX9" s="45"/>
      <c r="BY9" s="69"/>
      <c r="BZ9" s="45"/>
      <c r="CA9" s="69"/>
      <c r="CB9" s="45"/>
      <c r="CC9" s="69"/>
      <c r="CD9" s="45"/>
      <c r="CE9" s="69"/>
      <c r="CF9" s="45"/>
      <c r="CG9" s="69"/>
      <c r="CH9" s="45"/>
      <c r="CI9" s="69"/>
      <c r="CJ9" s="45"/>
      <c r="CK9" s="69"/>
      <c r="CL9" s="45"/>
      <c r="CM9" s="69"/>
      <c r="CN9" s="45"/>
      <c r="CO9" s="69"/>
      <c r="CP9" s="45"/>
      <c r="CQ9" s="69"/>
      <c r="CR9" s="45"/>
      <c r="CS9" s="69"/>
      <c r="CT9" s="45"/>
      <c r="CU9" s="69"/>
      <c r="CV9" s="45"/>
      <c r="CW9" s="69"/>
      <c r="CX9" s="45"/>
      <c r="CY9" s="69"/>
      <c r="CZ9" s="45"/>
      <c r="DA9" s="69"/>
      <c r="DB9" s="45"/>
      <c r="DC9" s="69"/>
      <c r="DD9" s="45"/>
      <c r="DE9" s="69"/>
      <c r="DF9" s="45"/>
      <c r="DG9" s="69"/>
      <c r="DH9" s="45"/>
      <c r="DI9" s="69"/>
      <c r="DJ9" s="45"/>
      <c r="DK9" s="69"/>
      <c r="DL9" s="45"/>
      <c r="DM9" s="69"/>
      <c r="DN9" s="45"/>
      <c r="DO9" s="69"/>
      <c r="DP9" s="45"/>
      <c r="DQ9" s="69"/>
      <c r="DR9" s="45"/>
      <c r="DS9" s="69"/>
      <c r="DT9" s="45"/>
      <c r="DU9" s="69"/>
      <c r="DV9" s="45"/>
      <c r="DW9" s="69"/>
      <c r="DX9" s="45"/>
      <c r="DY9" s="69"/>
      <c r="DZ9" s="45"/>
      <c r="EA9" s="69"/>
      <c r="EB9" s="45"/>
      <c r="EC9" s="69"/>
      <c r="ED9" s="45"/>
      <c r="EE9" s="69"/>
      <c r="EF9" s="45"/>
      <c r="EG9" s="69"/>
      <c r="EH9" s="45"/>
      <c r="EI9" s="69"/>
      <c r="EJ9" s="45"/>
      <c r="EK9" s="69"/>
      <c r="EL9" s="45"/>
      <c r="EM9" s="69"/>
      <c r="EN9" s="45"/>
      <c r="EO9" s="69"/>
      <c r="EP9" s="45"/>
      <c r="EQ9" s="69"/>
      <c r="ER9" s="45"/>
      <c r="ES9" s="69"/>
      <c r="ET9" s="45"/>
      <c r="EU9" s="69"/>
      <c r="EV9" s="45"/>
      <c r="EW9" s="69"/>
      <c r="EX9" s="45"/>
      <c r="EY9" s="69"/>
      <c r="EZ9" s="45"/>
      <c r="FA9" s="69"/>
      <c r="FB9" s="45"/>
      <c r="FC9" s="69"/>
      <c r="FD9" s="45"/>
      <c r="FE9" s="69"/>
      <c r="FF9" s="45"/>
      <c r="FG9" s="69"/>
      <c r="FH9" s="45"/>
      <c r="FI9" s="69"/>
      <c r="FJ9" s="45"/>
      <c r="FK9" s="69"/>
      <c r="FL9" s="45"/>
      <c r="FM9" s="69"/>
      <c r="FN9" s="45"/>
      <c r="FO9" s="69"/>
      <c r="FP9" s="45"/>
      <c r="FQ9" s="69"/>
      <c r="FR9" s="45"/>
      <c r="FS9" s="69"/>
      <c r="FT9" s="45"/>
      <c r="FU9" s="69"/>
      <c r="FV9" s="45"/>
      <c r="FW9" s="69"/>
      <c r="FX9" s="45"/>
      <c r="FY9" s="69"/>
      <c r="FZ9" s="45"/>
      <c r="GA9" s="69"/>
      <c r="GB9" s="45"/>
      <c r="GC9" s="69"/>
      <c r="GD9" s="45"/>
      <c r="GE9" s="69"/>
      <c r="GF9" s="45"/>
      <c r="GG9" s="69"/>
      <c r="GH9" s="45"/>
      <c r="GI9" s="69"/>
      <c r="GJ9" s="45"/>
      <c r="GK9" s="69"/>
      <c r="GL9" s="45"/>
      <c r="GM9" s="69"/>
      <c r="GN9" s="45"/>
      <c r="GO9" s="69"/>
      <c r="GP9" s="45"/>
      <c r="GQ9" s="69"/>
      <c r="GR9" s="45"/>
      <c r="GS9" s="69"/>
      <c r="GT9" s="45"/>
      <c r="GU9" s="69"/>
      <c r="GV9" s="45"/>
      <c r="GW9" s="69"/>
      <c r="GX9" s="45"/>
      <c r="GY9" s="69"/>
      <c r="GZ9" s="45"/>
      <c r="HA9" s="69"/>
      <c r="HB9" s="45"/>
      <c r="HC9" s="69"/>
      <c r="HD9" s="45"/>
      <c r="HE9" s="69"/>
      <c r="HF9" s="45"/>
      <c r="HG9" s="69"/>
      <c r="HH9" s="45"/>
      <c r="HI9" s="69"/>
      <c r="HJ9" s="45"/>
      <c r="HK9" s="69"/>
      <c r="HL9" s="45"/>
      <c r="HM9" s="69"/>
      <c r="HN9" s="45"/>
      <c r="HO9" s="69"/>
      <c r="HP9" s="45"/>
      <c r="HQ9" s="69"/>
      <c r="HR9" s="45"/>
      <c r="HS9" s="69"/>
      <c r="HT9" s="45"/>
      <c r="HU9" s="69"/>
      <c r="HV9" s="45"/>
      <c r="HW9" s="69"/>
      <c r="HX9" s="45"/>
      <c r="HY9" s="69"/>
      <c r="HZ9" s="45"/>
      <c r="IA9" s="69"/>
      <c r="IB9" s="45"/>
      <c r="IC9" s="69"/>
      <c r="ID9" s="45"/>
      <c r="IE9" s="69"/>
      <c r="IF9" s="45"/>
      <c r="IG9" s="69"/>
      <c r="IH9" s="45"/>
      <c r="II9" s="69"/>
      <c r="IJ9" s="45"/>
      <c r="IK9" s="69"/>
      <c r="IL9" s="45"/>
      <c r="IM9" s="69"/>
      <c r="IN9" s="45"/>
      <c r="IO9" s="69"/>
      <c r="IP9" s="45"/>
      <c r="IQ9" s="69"/>
      <c r="IR9" s="45"/>
      <c r="IS9" s="69"/>
      <c r="IT9" s="45"/>
      <c r="IU9" s="69"/>
    </row>
    <row r="10" spans="1:255" s="70" customFormat="1" x14ac:dyDescent="0.2">
      <c r="A10" s="45"/>
      <c r="B10" s="73">
        <v>330000</v>
      </c>
      <c r="C10" s="11" t="s">
        <v>54</v>
      </c>
      <c r="D10" s="232">
        <v>605000</v>
      </c>
      <c r="E10" s="12"/>
      <c r="F10" s="71"/>
      <c r="G10" s="71"/>
      <c r="H10" s="45"/>
      <c r="I10" s="71"/>
      <c r="J10" s="45"/>
      <c r="K10" s="71"/>
      <c r="L10" s="45"/>
      <c r="M10" s="71"/>
      <c r="N10" s="45"/>
      <c r="O10" s="71"/>
      <c r="P10" s="45"/>
      <c r="Q10" s="71"/>
      <c r="R10" s="45"/>
      <c r="S10" s="71"/>
      <c r="T10" s="45"/>
      <c r="U10" s="71"/>
      <c r="V10" s="45"/>
      <c r="W10" s="71"/>
      <c r="X10" s="45"/>
      <c r="Y10" s="71"/>
      <c r="Z10" s="45"/>
      <c r="AA10" s="71"/>
      <c r="AB10" s="45"/>
      <c r="AC10" s="71"/>
      <c r="AD10" s="45"/>
      <c r="AE10" s="71"/>
      <c r="AF10" s="45"/>
      <c r="AG10" s="71"/>
      <c r="AH10" s="45"/>
      <c r="AI10" s="71"/>
      <c r="AJ10" s="45"/>
      <c r="AK10" s="71"/>
      <c r="AL10" s="45"/>
      <c r="AM10" s="71"/>
      <c r="AN10" s="45"/>
      <c r="AO10" s="71"/>
      <c r="AP10" s="45"/>
      <c r="AQ10" s="71"/>
      <c r="AR10" s="45"/>
      <c r="AS10" s="71"/>
      <c r="AT10" s="45"/>
      <c r="AU10" s="71"/>
      <c r="AV10" s="45"/>
      <c r="AW10" s="71"/>
      <c r="AX10" s="45"/>
      <c r="AY10" s="71"/>
      <c r="AZ10" s="45"/>
      <c r="BA10" s="71"/>
      <c r="BB10" s="45"/>
      <c r="BC10" s="71"/>
      <c r="BD10" s="45"/>
      <c r="BE10" s="71"/>
      <c r="BF10" s="45"/>
      <c r="BG10" s="71"/>
      <c r="BH10" s="45"/>
      <c r="BI10" s="71"/>
      <c r="BJ10" s="45"/>
      <c r="BK10" s="71"/>
      <c r="BL10" s="45"/>
      <c r="BM10" s="71"/>
      <c r="BN10" s="45"/>
      <c r="BO10" s="71"/>
      <c r="BP10" s="45"/>
      <c r="BQ10" s="71"/>
      <c r="BR10" s="45"/>
      <c r="BS10" s="71"/>
      <c r="BT10" s="45"/>
      <c r="BU10" s="71"/>
      <c r="BV10" s="45"/>
      <c r="BW10" s="71"/>
      <c r="BX10" s="45"/>
      <c r="BY10" s="71"/>
      <c r="BZ10" s="45"/>
      <c r="CA10" s="71"/>
      <c r="CB10" s="45"/>
      <c r="CC10" s="71"/>
      <c r="CD10" s="45"/>
      <c r="CE10" s="71"/>
      <c r="CF10" s="45"/>
      <c r="CG10" s="71"/>
      <c r="CH10" s="45"/>
      <c r="CI10" s="71"/>
      <c r="CJ10" s="45"/>
      <c r="CK10" s="71"/>
      <c r="CL10" s="45"/>
      <c r="CM10" s="71"/>
      <c r="CN10" s="45"/>
      <c r="CO10" s="71"/>
      <c r="CP10" s="45"/>
      <c r="CQ10" s="71"/>
      <c r="CR10" s="45"/>
      <c r="CS10" s="71"/>
      <c r="CT10" s="45"/>
      <c r="CU10" s="71"/>
      <c r="CV10" s="45"/>
      <c r="CW10" s="71"/>
      <c r="CX10" s="45"/>
      <c r="CY10" s="71"/>
      <c r="CZ10" s="45"/>
      <c r="DA10" s="71"/>
      <c r="DB10" s="45"/>
      <c r="DC10" s="71"/>
      <c r="DD10" s="45"/>
      <c r="DE10" s="71"/>
      <c r="DF10" s="45"/>
      <c r="DG10" s="71"/>
      <c r="DH10" s="45"/>
      <c r="DI10" s="71"/>
      <c r="DJ10" s="45"/>
      <c r="DK10" s="71"/>
      <c r="DL10" s="45"/>
      <c r="DM10" s="71"/>
      <c r="DN10" s="45"/>
      <c r="DO10" s="71"/>
      <c r="DP10" s="45"/>
      <c r="DQ10" s="71"/>
      <c r="DR10" s="45"/>
      <c r="DS10" s="71"/>
      <c r="DT10" s="45"/>
      <c r="DU10" s="71"/>
      <c r="DV10" s="45"/>
      <c r="DW10" s="71"/>
      <c r="DX10" s="45"/>
      <c r="DY10" s="71"/>
      <c r="DZ10" s="45"/>
      <c r="EA10" s="71"/>
      <c r="EB10" s="45"/>
      <c r="EC10" s="71"/>
      <c r="ED10" s="45"/>
      <c r="EE10" s="71"/>
      <c r="EF10" s="45"/>
      <c r="EG10" s="71"/>
      <c r="EH10" s="45"/>
      <c r="EI10" s="71"/>
      <c r="EJ10" s="45"/>
      <c r="EK10" s="71"/>
      <c r="EL10" s="45"/>
      <c r="EM10" s="71"/>
      <c r="EN10" s="45"/>
      <c r="EO10" s="71"/>
      <c r="EP10" s="45"/>
      <c r="EQ10" s="71"/>
      <c r="ER10" s="45"/>
      <c r="ES10" s="71"/>
      <c r="ET10" s="45"/>
      <c r="EU10" s="71"/>
      <c r="EV10" s="45"/>
      <c r="EW10" s="71"/>
      <c r="EX10" s="45"/>
      <c r="EY10" s="71"/>
      <c r="EZ10" s="45"/>
      <c r="FA10" s="71"/>
      <c r="FB10" s="45"/>
      <c r="FC10" s="71"/>
      <c r="FD10" s="45"/>
      <c r="FE10" s="71"/>
      <c r="FF10" s="45"/>
      <c r="FG10" s="71"/>
      <c r="FH10" s="45"/>
      <c r="FI10" s="71"/>
      <c r="FJ10" s="45"/>
      <c r="FK10" s="71"/>
      <c r="FL10" s="45"/>
      <c r="FM10" s="71"/>
      <c r="FN10" s="45"/>
      <c r="FO10" s="71"/>
      <c r="FP10" s="45"/>
      <c r="FQ10" s="71"/>
      <c r="FR10" s="45"/>
      <c r="FS10" s="71"/>
      <c r="FT10" s="45"/>
      <c r="FU10" s="71"/>
      <c r="FV10" s="45"/>
      <c r="FW10" s="71"/>
      <c r="FX10" s="45"/>
      <c r="FY10" s="71"/>
      <c r="FZ10" s="45"/>
      <c r="GA10" s="71"/>
      <c r="GB10" s="45"/>
      <c r="GC10" s="71"/>
      <c r="GD10" s="45"/>
      <c r="GE10" s="71"/>
      <c r="GF10" s="45"/>
      <c r="GG10" s="71"/>
      <c r="GH10" s="45"/>
      <c r="GI10" s="71"/>
      <c r="GJ10" s="45"/>
      <c r="GK10" s="71"/>
      <c r="GL10" s="45"/>
      <c r="GM10" s="71"/>
      <c r="GN10" s="45"/>
      <c r="GO10" s="71"/>
      <c r="GP10" s="45"/>
      <c r="GQ10" s="71"/>
      <c r="GR10" s="45"/>
      <c r="GS10" s="71"/>
      <c r="GT10" s="45"/>
      <c r="GU10" s="71"/>
      <c r="GV10" s="45"/>
      <c r="GW10" s="71"/>
      <c r="GX10" s="45"/>
      <c r="GY10" s="71"/>
      <c r="GZ10" s="45"/>
      <c r="HA10" s="71"/>
      <c r="HB10" s="45"/>
      <c r="HC10" s="71"/>
      <c r="HD10" s="45"/>
      <c r="HE10" s="71"/>
      <c r="HF10" s="45"/>
      <c r="HG10" s="71"/>
      <c r="HH10" s="45"/>
      <c r="HI10" s="71"/>
      <c r="HJ10" s="45"/>
      <c r="HK10" s="71"/>
      <c r="HL10" s="45"/>
      <c r="HM10" s="71"/>
      <c r="HN10" s="45"/>
      <c r="HO10" s="71"/>
      <c r="HP10" s="45"/>
      <c r="HQ10" s="71"/>
      <c r="HR10" s="45"/>
      <c r="HS10" s="71"/>
      <c r="HT10" s="45"/>
      <c r="HU10" s="71"/>
      <c r="HV10" s="45"/>
      <c r="HW10" s="71"/>
      <c r="HX10" s="45"/>
      <c r="HY10" s="71"/>
      <c r="HZ10" s="45"/>
      <c r="IA10" s="71"/>
      <c r="IB10" s="45"/>
      <c r="IC10" s="71"/>
      <c r="ID10" s="45"/>
      <c r="IE10" s="71"/>
      <c r="IF10" s="45"/>
      <c r="IG10" s="71"/>
      <c r="IH10" s="45"/>
      <c r="II10" s="71"/>
      <c r="IJ10" s="45"/>
      <c r="IK10" s="71"/>
      <c r="IL10" s="45"/>
      <c r="IM10" s="71"/>
      <c r="IN10" s="45"/>
      <c r="IO10" s="71"/>
      <c r="IP10" s="45"/>
      <c r="IQ10" s="71"/>
      <c r="IR10" s="45"/>
      <c r="IS10" s="71"/>
      <c r="IT10" s="45"/>
      <c r="IU10" s="71"/>
    </row>
    <row r="11" spans="1:255" ht="15.75" thickBot="1" x14ac:dyDescent="0.25">
      <c r="B11" s="13"/>
      <c r="C11" s="14"/>
      <c r="D11" s="64"/>
      <c r="E11" s="62"/>
    </row>
    <row r="12" spans="1:255" x14ac:dyDescent="0.2">
      <c r="C12" s="2"/>
    </row>
    <row r="13" spans="1:255" x14ac:dyDescent="0.2">
      <c r="C13" s="3" t="s">
        <v>2</v>
      </c>
    </row>
    <row r="14" spans="1:255" ht="15.75" thickBot="1" x14ac:dyDescent="0.25">
      <c r="C14" s="4"/>
    </row>
    <row r="15" spans="1:255" x14ac:dyDescent="0.2">
      <c r="B15" s="16"/>
      <c r="C15" s="17"/>
      <c r="D15" s="17"/>
      <c r="E15" s="18"/>
    </row>
    <row r="16" spans="1:255" x14ac:dyDescent="0.2">
      <c r="B16" s="19"/>
      <c r="C16" s="20" t="s">
        <v>173</v>
      </c>
      <c r="D16" s="68">
        <f>D8/D7</f>
        <v>588888.88888888888</v>
      </c>
      <c r="E16" s="23"/>
    </row>
    <row r="17" spans="2:5" x14ac:dyDescent="0.2">
      <c r="B17" s="19"/>
      <c r="C17" s="20"/>
      <c r="D17" s="20"/>
      <c r="E17" s="23"/>
    </row>
    <row r="18" spans="2:5" ht="15.75" x14ac:dyDescent="0.25">
      <c r="B18" s="19"/>
      <c r="C18" s="20" t="s">
        <v>132</v>
      </c>
      <c r="D18" s="212">
        <f>D16-D8</f>
        <v>58888.888888888876</v>
      </c>
      <c r="E18" s="23"/>
    </row>
    <row r="19" spans="2:5" x14ac:dyDescent="0.2">
      <c r="B19" s="19"/>
      <c r="C19" s="20"/>
      <c r="D19" s="66"/>
      <c r="E19" s="23"/>
    </row>
    <row r="20" spans="2:5" x14ac:dyDescent="0.2">
      <c r="B20" s="19"/>
      <c r="C20" s="20" t="s">
        <v>174</v>
      </c>
      <c r="D20" s="74">
        <f>D9/D16</f>
        <v>1.0528301886792453</v>
      </c>
      <c r="E20" s="23"/>
    </row>
    <row r="21" spans="2:5" x14ac:dyDescent="0.2">
      <c r="B21" s="19"/>
      <c r="C21" s="20" t="s">
        <v>175</v>
      </c>
      <c r="D21" s="22">
        <f>D20*D10</f>
        <v>636962.26415094337</v>
      </c>
      <c r="E21" s="23"/>
    </row>
    <row r="22" spans="2:5" x14ac:dyDescent="0.2">
      <c r="B22" s="19"/>
      <c r="C22" s="20"/>
      <c r="D22" s="66"/>
      <c r="E22" s="23"/>
    </row>
    <row r="23" spans="2:5" ht="15.75" x14ac:dyDescent="0.25">
      <c r="B23" s="19"/>
      <c r="C23" s="20" t="s">
        <v>176</v>
      </c>
      <c r="D23" s="50">
        <f>D21-D9</f>
        <v>16962.264150943374</v>
      </c>
      <c r="E23" s="23"/>
    </row>
    <row r="24" spans="2:5" ht="15.75" thickBot="1" x14ac:dyDescent="0.25">
      <c r="B24" s="30"/>
      <c r="C24" s="31"/>
      <c r="D24" s="33"/>
      <c r="E24" s="32"/>
    </row>
    <row r="28" spans="2:5" x14ac:dyDescent="0.2">
      <c r="D28" s="402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I16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13.140625" customWidth="1"/>
    <col min="5" max="5" width="3.140625" customWidth="1"/>
    <col min="8" max="9" width="9.140625" style="2"/>
    <col min="11" max="11" width="9.140625" customWidth="1"/>
  </cols>
  <sheetData>
    <row r="1" spans="2:9" ht="18" x14ac:dyDescent="0.25">
      <c r="C1" s="1" t="s">
        <v>98</v>
      </c>
    </row>
    <row r="2" spans="2:9" x14ac:dyDescent="0.2">
      <c r="C2" s="2" t="s">
        <v>103</v>
      </c>
    </row>
    <row r="4" spans="2:9" x14ac:dyDescent="0.2">
      <c r="C4" s="3" t="s">
        <v>0</v>
      </c>
      <c r="D4" s="2"/>
      <c r="E4" s="2"/>
      <c r="F4" s="2"/>
      <c r="G4" s="2"/>
    </row>
    <row r="5" spans="2:9" ht="15.75" thickBot="1" x14ac:dyDescent="0.25">
      <c r="C5" s="4"/>
      <c r="D5" s="5"/>
      <c r="E5" s="2"/>
      <c r="F5" s="2"/>
      <c r="G5" s="2"/>
    </row>
    <row r="6" spans="2:9" x14ac:dyDescent="0.2">
      <c r="B6" s="6"/>
      <c r="C6" s="7"/>
      <c r="D6" s="8"/>
      <c r="E6" s="9"/>
      <c r="F6" s="114"/>
      <c r="G6" s="114"/>
      <c r="H6" s="45"/>
    </row>
    <row r="7" spans="2:9" x14ac:dyDescent="0.2">
      <c r="B7" s="10"/>
      <c r="C7" s="11" t="s">
        <v>51</v>
      </c>
      <c r="D7" s="115">
        <v>1.35</v>
      </c>
      <c r="E7" s="116"/>
      <c r="F7" s="117"/>
      <c r="G7" s="117"/>
      <c r="H7" s="45"/>
    </row>
    <row r="8" spans="2:9" x14ac:dyDescent="0.2">
      <c r="B8" s="10"/>
      <c r="C8" s="11" t="s">
        <v>50</v>
      </c>
      <c r="D8" s="115">
        <v>1.87</v>
      </c>
      <c r="E8" s="116"/>
      <c r="F8" s="117"/>
      <c r="G8" s="117"/>
      <c r="H8" s="45"/>
    </row>
    <row r="9" spans="2:9" x14ac:dyDescent="0.2">
      <c r="B9" s="10"/>
      <c r="C9" s="11" t="s">
        <v>47</v>
      </c>
      <c r="D9" s="108">
        <v>6.0999999999999999E-2</v>
      </c>
      <c r="E9" s="116"/>
      <c r="F9" s="117"/>
      <c r="G9" s="117"/>
      <c r="H9" s="45"/>
    </row>
    <row r="10" spans="2:9" ht="15.75" thickBot="1" x14ac:dyDescent="0.25">
      <c r="B10" s="13"/>
      <c r="C10" s="14"/>
      <c r="D10" s="14"/>
      <c r="E10" s="15"/>
      <c r="F10" s="114"/>
      <c r="G10" s="114"/>
      <c r="H10" s="45"/>
    </row>
    <row r="11" spans="2:9" x14ac:dyDescent="0.2">
      <c r="C11" s="2"/>
      <c r="D11" s="2"/>
      <c r="E11" s="2"/>
      <c r="F11" s="2"/>
      <c r="G11" s="2"/>
    </row>
    <row r="12" spans="2:9" x14ac:dyDescent="0.2">
      <c r="C12" s="3" t="s">
        <v>2</v>
      </c>
      <c r="D12" s="2"/>
      <c r="E12" s="2"/>
      <c r="F12" s="2"/>
      <c r="G12" s="2"/>
    </row>
    <row r="13" spans="2:9" ht="15.75" thickBot="1" x14ac:dyDescent="0.25">
      <c r="C13" s="4"/>
      <c r="D13" s="2"/>
      <c r="E13" s="2"/>
      <c r="F13" s="2"/>
      <c r="G13" s="2"/>
    </row>
    <row r="14" spans="2:9" x14ac:dyDescent="0.2">
      <c r="B14" s="16"/>
      <c r="C14" s="17"/>
      <c r="D14" s="118"/>
      <c r="E14" s="18"/>
      <c r="H14"/>
      <c r="I14"/>
    </row>
    <row r="15" spans="2:9" ht="15.75" x14ac:dyDescent="0.25">
      <c r="B15" s="19"/>
      <c r="C15" s="58" t="s">
        <v>80</v>
      </c>
      <c r="D15" s="57">
        <f>D7*D8*D9</f>
        <v>0.15399450000000001</v>
      </c>
      <c r="E15" s="23"/>
      <c r="H15"/>
      <c r="I15"/>
    </row>
    <row r="16" spans="2:9" ht="15.75" thickBot="1" x14ac:dyDescent="0.25">
      <c r="B16" s="30"/>
      <c r="C16" s="33"/>
      <c r="D16" s="119"/>
      <c r="E16" s="32"/>
      <c r="H16"/>
      <c r="I16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8"/>
  <sheetViews>
    <sheetView zoomScale="98" zoomScaleNormal="98" workbookViewId="0">
      <selection activeCell="C1" sqref="C1"/>
    </sheetView>
  </sheetViews>
  <sheetFormatPr defaultRowHeight="15" x14ac:dyDescent="0.2"/>
  <cols>
    <col min="1" max="1" width="9.140625" style="242"/>
    <col min="2" max="2" width="3.140625" style="242" customWidth="1"/>
    <col min="3" max="3" width="28.5703125" style="242" customWidth="1"/>
    <col min="4" max="4" width="16.28515625" style="244" customWidth="1"/>
    <col min="5" max="5" width="3" style="242" customWidth="1"/>
    <col min="6" max="6" width="3.140625" style="242" customWidth="1"/>
    <col min="7" max="7" width="3" style="242" customWidth="1"/>
    <col min="8" max="8" width="15.140625" style="242" customWidth="1"/>
    <col min="9" max="9" width="14" style="242" customWidth="1"/>
    <col min="10" max="10" width="14.28515625" style="242" customWidth="1"/>
    <col min="11" max="14" width="3.140625" style="242" customWidth="1"/>
    <col min="15" max="15" width="14.42578125" style="242" customWidth="1"/>
    <col min="16" max="16" width="13.42578125" style="242" customWidth="1"/>
    <col min="17" max="17" width="3.140625" style="242" customWidth="1"/>
    <col min="18" max="18" width="9.140625" style="242"/>
    <col min="19" max="19" width="12.5703125" style="242" bestFit="1" customWidth="1"/>
    <col min="20" max="16384" width="9.140625" style="242"/>
  </cols>
  <sheetData>
    <row r="1" spans="2:19" ht="18" x14ac:dyDescent="0.25">
      <c r="C1" s="243" t="s">
        <v>98</v>
      </c>
    </row>
    <row r="2" spans="2:19" x14ac:dyDescent="0.2">
      <c r="C2" s="244" t="s">
        <v>203</v>
      </c>
    </row>
    <row r="3" spans="2:19" x14ac:dyDescent="0.2">
      <c r="D3" s="409"/>
    </row>
    <row r="4" spans="2:19" x14ac:dyDescent="0.2">
      <c r="C4" s="245" t="s">
        <v>0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2:19" ht="15.75" thickBot="1" x14ac:dyDescent="0.25">
      <c r="C5" s="246"/>
      <c r="D5" s="247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</row>
    <row r="6" spans="2:19" x14ac:dyDescent="0.2">
      <c r="B6" s="248"/>
      <c r="C6" s="249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</row>
    <row r="7" spans="2:19" ht="15.75" x14ac:dyDescent="0.25">
      <c r="B7" s="252"/>
      <c r="C7" s="253" t="s">
        <v>204</v>
      </c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5"/>
    </row>
    <row r="8" spans="2:19" x14ac:dyDescent="0.2">
      <c r="B8" s="252"/>
      <c r="C8" s="256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5"/>
    </row>
    <row r="9" spans="2:19" x14ac:dyDescent="0.2">
      <c r="B9" s="252"/>
      <c r="C9" s="254" t="s">
        <v>4</v>
      </c>
      <c r="D9" s="234">
        <v>891600</v>
      </c>
      <c r="E9" s="254"/>
      <c r="F9" s="257"/>
      <c r="G9" s="257"/>
      <c r="H9" s="257"/>
      <c r="I9" s="257" t="s">
        <v>6</v>
      </c>
      <c r="J9" s="257"/>
      <c r="K9" s="257"/>
      <c r="L9" s="257"/>
      <c r="M9" s="257" t="s">
        <v>66</v>
      </c>
      <c r="N9" s="257"/>
      <c r="O9" s="257"/>
      <c r="P9" s="258"/>
      <c r="Q9" s="255"/>
      <c r="S9" s="403"/>
    </row>
    <row r="10" spans="2:19" x14ac:dyDescent="0.2">
      <c r="B10" s="252"/>
      <c r="C10" s="254" t="s">
        <v>5</v>
      </c>
      <c r="D10" s="237">
        <v>727900</v>
      </c>
      <c r="E10" s="254"/>
      <c r="F10" s="254" t="s">
        <v>3</v>
      </c>
      <c r="G10" s="254"/>
      <c r="H10" s="254"/>
      <c r="I10" s="254"/>
      <c r="J10" s="235"/>
      <c r="K10" s="235"/>
      <c r="L10" s="254" t="s">
        <v>1</v>
      </c>
      <c r="M10" s="254"/>
      <c r="N10" s="254"/>
      <c r="O10" s="254"/>
      <c r="P10" s="236"/>
      <c r="Q10" s="255"/>
      <c r="S10" s="403"/>
    </row>
    <row r="11" spans="2:19" x14ac:dyDescent="0.2">
      <c r="B11" s="252"/>
      <c r="C11" s="254" t="s">
        <v>58</v>
      </c>
      <c r="D11" s="239">
        <v>18240</v>
      </c>
      <c r="E11" s="254"/>
      <c r="F11" s="254"/>
      <c r="G11" s="254" t="s">
        <v>30</v>
      </c>
      <c r="H11" s="254"/>
      <c r="I11" s="254"/>
      <c r="J11" s="259">
        <v>24280</v>
      </c>
      <c r="K11" s="238"/>
      <c r="L11" s="254"/>
      <c r="M11" s="254" t="s">
        <v>34</v>
      </c>
      <c r="N11" s="254"/>
      <c r="O11" s="254"/>
      <c r="P11" s="259">
        <v>65200</v>
      </c>
      <c r="Q11" s="255"/>
      <c r="S11" s="397"/>
    </row>
    <row r="12" spans="2:19" x14ac:dyDescent="0.2">
      <c r="B12" s="252"/>
      <c r="C12" s="254" t="s">
        <v>60</v>
      </c>
      <c r="D12" s="260">
        <f>D9-D10-D11</f>
        <v>145460</v>
      </c>
      <c r="E12" s="254"/>
      <c r="F12" s="254"/>
      <c r="G12" s="254" t="s">
        <v>31</v>
      </c>
      <c r="H12" s="254"/>
      <c r="I12" s="254"/>
      <c r="J12" s="237">
        <v>37070</v>
      </c>
      <c r="K12" s="240"/>
      <c r="L12" s="254"/>
      <c r="M12" s="254" t="s">
        <v>35</v>
      </c>
      <c r="N12" s="254"/>
      <c r="O12" s="254"/>
      <c r="P12" s="239">
        <v>16320</v>
      </c>
      <c r="Q12" s="255"/>
      <c r="S12" s="397"/>
    </row>
    <row r="13" spans="2:19" x14ac:dyDescent="0.2">
      <c r="B13" s="252"/>
      <c r="C13" s="254" t="s">
        <v>59</v>
      </c>
      <c r="D13" s="239">
        <v>13400</v>
      </c>
      <c r="E13" s="254"/>
      <c r="F13" s="254"/>
      <c r="G13" s="254" t="s">
        <v>32</v>
      </c>
      <c r="H13" s="254"/>
      <c r="I13" s="254"/>
      <c r="J13" s="239">
        <v>83400</v>
      </c>
      <c r="K13" s="240"/>
      <c r="L13" s="254"/>
      <c r="M13" s="254"/>
      <c r="N13" s="254" t="s">
        <v>13</v>
      </c>
      <c r="O13" s="254"/>
      <c r="P13" s="261">
        <f>P11+P12</f>
        <v>81520</v>
      </c>
      <c r="Q13" s="255"/>
      <c r="S13" s="397"/>
    </row>
    <row r="14" spans="2:19" x14ac:dyDescent="0.2">
      <c r="B14" s="252"/>
      <c r="C14" s="254" t="s">
        <v>22</v>
      </c>
      <c r="D14" s="262">
        <f>D12-D13</f>
        <v>132060</v>
      </c>
      <c r="E14" s="254"/>
      <c r="F14" s="254"/>
      <c r="G14" s="254"/>
      <c r="H14" s="254" t="s">
        <v>13</v>
      </c>
      <c r="I14" s="254"/>
      <c r="J14" s="238">
        <f>SUM(J11:J13)</f>
        <v>144750</v>
      </c>
      <c r="K14" s="238"/>
      <c r="L14" s="254" t="s">
        <v>26</v>
      </c>
      <c r="M14" s="254"/>
      <c r="N14" s="254"/>
      <c r="O14" s="254"/>
      <c r="P14" s="259">
        <v>155000</v>
      </c>
      <c r="Q14" s="255"/>
      <c r="S14" s="397"/>
    </row>
    <row r="15" spans="2:19" x14ac:dyDescent="0.2">
      <c r="B15" s="252"/>
      <c r="C15" s="254" t="s">
        <v>23</v>
      </c>
      <c r="D15" s="263">
        <f>D14*D23</f>
        <v>29053.200000000001</v>
      </c>
      <c r="E15" s="254"/>
      <c r="F15" s="254" t="s">
        <v>25</v>
      </c>
      <c r="G15" s="254"/>
      <c r="H15" s="254"/>
      <c r="I15" s="254"/>
      <c r="J15" s="264"/>
      <c r="K15" s="264"/>
      <c r="L15" s="254"/>
      <c r="M15" s="254"/>
      <c r="N15" s="254"/>
      <c r="O15" s="254"/>
      <c r="P15" s="265"/>
      <c r="Q15" s="255"/>
      <c r="S15" s="397"/>
    </row>
    <row r="16" spans="2:19" ht="15.75" thickBot="1" x14ac:dyDescent="0.25">
      <c r="B16" s="252"/>
      <c r="C16" s="254" t="s">
        <v>10</v>
      </c>
      <c r="D16" s="266">
        <f>D14-D15</f>
        <v>103006.8</v>
      </c>
      <c r="E16" s="254"/>
      <c r="F16" s="254"/>
      <c r="G16" s="254" t="s">
        <v>61</v>
      </c>
      <c r="H16" s="254"/>
      <c r="I16" s="254"/>
      <c r="J16" s="241"/>
      <c r="K16" s="241"/>
      <c r="L16" s="254" t="s">
        <v>38</v>
      </c>
      <c r="M16" s="254"/>
      <c r="N16" s="254"/>
      <c r="O16" s="254"/>
      <c r="P16" s="267"/>
      <c r="Q16" s="255"/>
      <c r="S16" s="397"/>
    </row>
    <row r="17" spans="2:19" ht="15.75" thickTop="1" x14ac:dyDescent="0.2">
      <c r="B17" s="252"/>
      <c r="C17" s="254"/>
      <c r="D17" s="254"/>
      <c r="E17" s="254"/>
      <c r="F17" s="254"/>
      <c r="G17" s="254" t="s">
        <v>62</v>
      </c>
      <c r="H17" s="254"/>
      <c r="I17" s="254"/>
      <c r="J17" s="268">
        <v>396500</v>
      </c>
      <c r="K17" s="240"/>
      <c r="L17" s="254"/>
      <c r="M17" s="254" t="s">
        <v>63</v>
      </c>
      <c r="N17" s="254"/>
      <c r="O17" s="254"/>
      <c r="P17" s="267"/>
      <c r="Q17" s="255"/>
      <c r="S17" s="397"/>
    </row>
    <row r="18" spans="2:19" x14ac:dyDescent="0.2">
      <c r="B18" s="252"/>
      <c r="C18" s="254" t="s">
        <v>14</v>
      </c>
      <c r="D18" s="259">
        <v>36224</v>
      </c>
      <c r="E18" s="254"/>
      <c r="F18" s="254"/>
      <c r="G18" s="254"/>
      <c r="H18" s="254"/>
      <c r="I18" s="254"/>
      <c r="J18" s="241"/>
      <c r="K18" s="241"/>
      <c r="L18" s="254"/>
      <c r="M18" s="254" t="s">
        <v>64</v>
      </c>
      <c r="N18" s="254"/>
      <c r="O18" s="254"/>
      <c r="P18" s="259">
        <v>130000</v>
      </c>
      <c r="Q18" s="255"/>
      <c r="S18" s="397"/>
    </row>
    <row r="19" spans="2:19" x14ac:dyDescent="0.2">
      <c r="B19" s="252"/>
      <c r="C19" s="254" t="s">
        <v>57</v>
      </c>
      <c r="D19" s="269">
        <f>D16-D18</f>
        <v>66782.8</v>
      </c>
      <c r="E19" s="254"/>
      <c r="F19" s="254"/>
      <c r="G19" s="254"/>
      <c r="H19" s="254"/>
      <c r="I19" s="254"/>
      <c r="J19" s="241"/>
      <c r="K19" s="241"/>
      <c r="L19" s="254"/>
      <c r="M19" s="254" t="s">
        <v>37</v>
      </c>
      <c r="N19" s="254"/>
      <c r="O19" s="254"/>
      <c r="P19" s="237">
        <v>174730</v>
      </c>
      <c r="Q19" s="255"/>
      <c r="S19" s="397"/>
    </row>
    <row r="20" spans="2:19" x14ac:dyDescent="0.2">
      <c r="B20" s="252"/>
      <c r="C20" s="254"/>
      <c r="D20" s="237"/>
      <c r="E20" s="254"/>
      <c r="F20" s="254"/>
      <c r="G20" s="254"/>
      <c r="H20" s="254"/>
      <c r="I20" s="254"/>
      <c r="J20" s="264"/>
      <c r="K20" s="264"/>
      <c r="L20" s="254"/>
      <c r="M20" s="254"/>
      <c r="N20" s="254" t="s">
        <v>13</v>
      </c>
      <c r="O20" s="254"/>
      <c r="P20" s="270">
        <f>P18+P19</f>
        <v>304730</v>
      </c>
      <c r="Q20" s="255"/>
      <c r="S20" s="397"/>
    </row>
    <row r="21" spans="2:19" x14ac:dyDescent="0.2">
      <c r="B21" s="252"/>
      <c r="C21" s="254" t="s">
        <v>11</v>
      </c>
      <c r="D21" s="271">
        <v>0.2</v>
      </c>
      <c r="E21" s="254"/>
      <c r="F21" s="254"/>
      <c r="G21" s="254"/>
      <c r="H21" s="254"/>
      <c r="I21" s="254"/>
      <c r="J21" s="264"/>
      <c r="K21" s="264"/>
      <c r="L21" s="254" t="s">
        <v>39</v>
      </c>
      <c r="M21" s="254"/>
      <c r="N21" s="254"/>
      <c r="O21" s="254"/>
      <c r="P21" s="254"/>
      <c r="Q21" s="255"/>
    </row>
    <row r="22" spans="2:19" ht="15.75" thickBot="1" x14ac:dyDescent="0.25">
      <c r="B22" s="252"/>
      <c r="C22" s="254" t="s">
        <v>67</v>
      </c>
      <c r="D22" s="233">
        <v>1</v>
      </c>
      <c r="E22" s="254"/>
      <c r="F22" s="254" t="s">
        <v>40</v>
      </c>
      <c r="G22" s="254"/>
      <c r="H22" s="254"/>
      <c r="I22" s="254"/>
      <c r="J22" s="272">
        <f>J14+J17</f>
        <v>541250</v>
      </c>
      <c r="K22" s="238"/>
      <c r="L22" s="254" t="s">
        <v>65</v>
      </c>
      <c r="M22" s="254"/>
      <c r="N22" s="254"/>
      <c r="O22" s="254"/>
      <c r="P22" s="273">
        <f>P13+P14+P20</f>
        <v>541250</v>
      </c>
      <c r="Q22" s="255"/>
      <c r="S22" s="398"/>
    </row>
    <row r="23" spans="2:19" ht="15.75" thickTop="1" x14ac:dyDescent="0.2">
      <c r="B23" s="252"/>
      <c r="C23" s="254" t="s">
        <v>21</v>
      </c>
      <c r="D23" s="233">
        <v>0.22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5"/>
    </row>
    <row r="24" spans="2:19" ht="15.75" thickBot="1" x14ac:dyDescent="0.25">
      <c r="B24" s="274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6"/>
    </row>
    <row r="25" spans="2:19" x14ac:dyDescent="0.2">
      <c r="C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</row>
    <row r="26" spans="2:19" x14ac:dyDescent="0.2">
      <c r="C26" s="245" t="s">
        <v>2</v>
      </c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</row>
    <row r="27" spans="2:19" ht="15.75" thickBot="1" x14ac:dyDescent="0.25">
      <c r="C27" s="246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</row>
    <row r="28" spans="2:19" x14ac:dyDescent="0.2">
      <c r="B28" s="277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9"/>
    </row>
    <row r="29" spans="2:19" x14ac:dyDescent="0.2">
      <c r="B29" s="280"/>
      <c r="C29" s="281" t="s">
        <v>191</v>
      </c>
      <c r="D29" s="53">
        <f>D18/D16</f>
        <v>0.35166610359704409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2"/>
    </row>
    <row r="30" spans="2:19" x14ac:dyDescent="0.2">
      <c r="B30" s="280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2"/>
    </row>
    <row r="31" spans="2:19" x14ac:dyDescent="0.2">
      <c r="B31" s="283"/>
      <c r="C31" s="284" t="s">
        <v>215</v>
      </c>
      <c r="D31" s="285"/>
      <c r="E31" s="281"/>
      <c r="F31" s="285"/>
      <c r="G31" s="285"/>
      <c r="H31" s="285"/>
      <c r="I31" s="285" t="s">
        <v>6</v>
      </c>
      <c r="J31" s="285"/>
      <c r="K31" s="285"/>
      <c r="L31" s="285"/>
      <c r="M31" s="285" t="s">
        <v>66</v>
      </c>
      <c r="N31" s="285"/>
      <c r="O31" s="285"/>
      <c r="P31" s="83"/>
      <c r="Q31" s="286"/>
    </row>
    <row r="32" spans="2:19" x14ac:dyDescent="0.2">
      <c r="B32" s="280"/>
      <c r="C32" s="281" t="s">
        <v>4</v>
      </c>
      <c r="D32" s="22">
        <f>D9*(1+D21)</f>
        <v>1069920</v>
      </c>
      <c r="E32" s="287"/>
      <c r="F32" s="281" t="s">
        <v>3</v>
      </c>
      <c r="G32" s="281"/>
      <c r="H32" s="281"/>
      <c r="I32" s="281"/>
      <c r="J32" s="47"/>
      <c r="K32" s="47"/>
      <c r="L32" s="281" t="s">
        <v>1</v>
      </c>
      <c r="M32" s="281"/>
      <c r="N32" s="281"/>
      <c r="O32" s="281"/>
      <c r="P32" s="42"/>
      <c r="Q32" s="282"/>
    </row>
    <row r="33" spans="2:17" x14ac:dyDescent="0.2">
      <c r="B33" s="283"/>
      <c r="C33" s="281" t="s">
        <v>5</v>
      </c>
      <c r="D33" s="38">
        <f>D10*(1+D21)</f>
        <v>873480</v>
      </c>
      <c r="E33" s="288"/>
      <c r="F33" s="281"/>
      <c r="G33" s="281" t="s">
        <v>30</v>
      </c>
      <c r="H33" s="281"/>
      <c r="I33" s="281"/>
      <c r="J33" s="22">
        <f>J11*(1+D21)</f>
        <v>29136</v>
      </c>
      <c r="K33" s="22"/>
      <c r="L33" s="281"/>
      <c r="M33" s="281" t="s">
        <v>34</v>
      </c>
      <c r="N33" s="281"/>
      <c r="O33" s="281"/>
      <c r="P33" s="22">
        <f>P11*(1+D21)</f>
        <v>78240</v>
      </c>
      <c r="Q33" s="286"/>
    </row>
    <row r="34" spans="2:17" x14ac:dyDescent="0.2">
      <c r="B34" s="283"/>
      <c r="C34" s="281" t="s">
        <v>58</v>
      </c>
      <c r="D34" s="39">
        <f>D11*(1+D21)</f>
        <v>21888</v>
      </c>
      <c r="E34" s="288"/>
      <c r="F34" s="281"/>
      <c r="G34" s="281" t="s">
        <v>31</v>
      </c>
      <c r="H34" s="281"/>
      <c r="I34" s="281"/>
      <c r="J34" s="38">
        <f>J12*(1+D21)</f>
        <v>44484</v>
      </c>
      <c r="K34" s="38"/>
      <c r="L34" s="281"/>
      <c r="M34" s="281" t="s">
        <v>35</v>
      </c>
      <c r="N34" s="281"/>
      <c r="O34" s="281"/>
      <c r="P34" s="226">
        <f>P12</f>
        <v>16320</v>
      </c>
      <c r="Q34" s="286"/>
    </row>
    <row r="35" spans="2:17" x14ac:dyDescent="0.2">
      <c r="B35" s="283"/>
      <c r="C35" s="281" t="s">
        <v>60</v>
      </c>
      <c r="D35" s="77">
        <f>D32-D33-D34</f>
        <v>174552</v>
      </c>
      <c r="E35" s="288"/>
      <c r="F35" s="281"/>
      <c r="G35" s="281" t="s">
        <v>32</v>
      </c>
      <c r="H35" s="281"/>
      <c r="I35" s="281"/>
      <c r="J35" s="39">
        <f>J13*(1+D21)</f>
        <v>100080</v>
      </c>
      <c r="K35" s="38"/>
      <c r="L35" s="281"/>
      <c r="M35" s="281"/>
      <c r="N35" s="281" t="s">
        <v>13</v>
      </c>
      <c r="O35" s="281"/>
      <c r="P35" s="222">
        <f>P33+P34</f>
        <v>94560</v>
      </c>
      <c r="Q35" s="286"/>
    </row>
    <row r="36" spans="2:17" s="244" customFormat="1" x14ac:dyDescent="0.2">
      <c r="B36" s="283"/>
      <c r="C36" s="281" t="s">
        <v>59</v>
      </c>
      <c r="D36" s="39">
        <f>D13</f>
        <v>13400</v>
      </c>
      <c r="E36" s="288"/>
      <c r="F36" s="281"/>
      <c r="G36" s="281"/>
      <c r="H36" s="281" t="s">
        <v>13</v>
      </c>
      <c r="I36" s="281"/>
      <c r="J36" s="22">
        <f>J33+J34+J35</f>
        <v>173700</v>
      </c>
      <c r="K36" s="22"/>
      <c r="L36" s="281" t="s">
        <v>26</v>
      </c>
      <c r="M36" s="281"/>
      <c r="N36" s="281"/>
      <c r="O36" s="281"/>
      <c r="P36" s="226">
        <f>P14</f>
        <v>155000</v>
      </c>
      <c r="Q36" s="286"/>
    </row>
    <row r="37" spans="2:17" x14ac:dyDescent="0.2">
      <c r="B37" s="283"/>
      <c r="C37" s="281" t="s">
        <v>22</v>
      </c>
      <c r="D37" s="77">
        <f>D35-D36</f>
        <v>161152</v>
      </c>
      <c r="E37" s="288"/>
      <c r="F37" s="281" t="s">
        <v>25</v>
      </c>
      <c r="G37" s="281"/>
      <c r="H37" s="281"/>
      <c r="I37" s="281"/>
      <c r="J37" s="289"/>
      <c r="K37" s="289"/>
      <c r="L37" s="281"/>
      <c r="M37" s="281"/>
      <c r="N37" s="281"/>
      <c r="O37" s="281"/>
      <c r="P37" s="290"/>
      <c r="Q37" s="286"/>
    </row>
    <row r="38" spans="2:17" s="244" customFormat="1" x14ac:dyDescent="0.2">
      <c r="B38" s="283"/>
      <c r="C38" s="281" t="s">
        <v>23</v>
      </c>
      <c r="D38" s="39">
        <f>D37*D23</f>
        <v>35453.440000000002</v>
      </c>
      <c r="E38" s="288"/>
      <c r="F38" s="281"/>
      <c r="G38" s="281" t="s">
        <v>61</v>
      </c>
      <c r="H38" s="281"/>
      <c r="I38" s="281"/>
      <c r="J38" s="79"/>
      <c r="K38" s="79"/>
      <c r="L38" s="281" t="s">
        <v>38</v>
      </c>
      <c r="M38" s="281"/>
      <c r="N38" s="281"/>
      <c r="O38" s="281"/>
      <c r="P38" s="291"/>
      <c r="Q38" s="286"/>
    </row>
    <row r="39" spans="2:17" s="244" customFormat="1" ht="15.75" thickBot="1" x14ac:dyDescent="0.25">
      <c r="B39" s="283"/>
      <c r="C39" s="281" t="s">
        <v>10</v>
      </c>
      <c r="D39" s="40">
        <f>D37-D38</f>
        <v>125698.56</v>
      </c>
      <c r="E39" s="281"/>
      <c r="F39" s="281"/>
      <c r="G39" s="281" t="s">
        <v>62</v>
      </c>
      <c r="H39" s="281"/>
      <c r="I39" s="281"/>
      <c r="J39" s="39">
        <f>J17*(1+D21)</f>
        <v>475800</v>
      </c>
      <c r="K39" s="38"/>
      <c r="L39" s="281"/>
      <c r="M39" s="281" t="s">
        <v>63</v>
      </c>
      <c r="N39" s="281"/>
      <c r="O39" s="281"/>
      <c r="P39" s="291"/>
      <c r="Q39" s="286"/>
    </row>
    <row r="40" spans="2:17" s="244" customFormat="1" ht="15.75" thickTop="1" x14ac:dyDescent="0.2">
      <c r="B40" s="280"/>
      <c r="C40" s="281"/>
      <c r="D40" s="29"/>
      <c r="E40" s="292"/>
      <c r="F40" s="281"/>
      <c r="G40" s="281"/>
      <c r="H40" s="281"/>
      <c r="I40" s="281"/>
      <c r="J40" s="79"/>
      <c r="K40" s="79"/>
      <c r="L40" s="281"/>
      <c r="M40" s="281" t="s">
        <v>64</v>
      </c>
      <c r="N40" s="281"/>
      <c r="O40" s="281"/>
      <c r="P40" s="293">
        <f>P18</f>
        <v>130000</v>
      </c>
      <c r="Q40" s="282"/>
    </row>
    <row r="41" spans="2:17" s="244" customFormat="1" x14ac:dyDescent="0.2">
      <c r="B41" s="280"/>
      <c r="C41" s="281" t="s">
        <v>14</v>
      </c>
      <c r="D41" s="22">
        <f>D39*D29</f>
        <v>44203.922822959263</v>
      </c>
      <c r="E41" s="292"/>
      <c r="F41" s="281"/>
      <c r="G41" s="281"/>
      <c r="H41" s="281"/>
      <c r="I41" s="281"/>
      <c r="J41" s="79"/>
      <c r="K41" s="79"/>
      <c r="L41" s="281"/>
      <c r="M41" s="281" t="s">
        <v>37</v>
      </c>
      <c r="N41" s="281"/>
      <c r="O41" s="281"/>
      <c r="P41" s="39">
        <f>P19+D42</f>
        <v>256224.63717704074</v>
      </c>
      <c r="Q41" s="282"/>
    </row>
    <row r="42" spans="2:17" s="244" customFormat="1" x14ac:dyDescent="0.2">
      <c r="B42" s="280"/>
      <c r="C42" s="281" t="s">
        <v>218</v>
      </c>
      <c r="D42" s="38">
        <f>D39-D41</f>
        <v>81494.637177040742</v>
      </c>
      <c r="E42" s="29"/>
      <c r="F42" s="281"/>
      <c r="G42" s="281"/>
      <c r="H42" s="281"/>
      <c r="I42" s="281"/>
      <c r="J42" s="289"/>
      <c r="K42" s="289"/>
      <c r="L42" s="281"/>
      <c r="M42" s="281"/>
      <c r="N42" s="281" t="s">
        <v>13</v>
      </c>
      <c r="O42" s="281"/>
      <c r="P42" s="82">
        <f>P40+P41</f>
        <v>386224.63717704074</v>
      </c>
      <c r="Q42" s="282"/>
    </row>
    <row r="43" spans="2:17" s="244" customFormat="1" x14ac:dyDescent="0.2">
      <c r="B43" s="280"/>
      <c r="C43" s="281"/>
      <c r="D43" s="29"/>
      <c r="E43" s="29"/>
      <c r="F43" s="281"/>
      <c r="G43" s="281"/>
      <c r="H43" s="281"/>
      <c r="I43" s="281"/>
      <c r="J43" s="289"/>
      <c r="K43" s="289"/>
      <c r="L43" s="281" t="s">
        <v>39</v>
      </c>
      <c r="M43" s="281"/>
      <c r="N43" s="281"/>
      <c r="O43" s="281"/>
      <c r="P43" s="281"/>
      <c r="Q43" s="282"/>
    </row>
    <row r="44" spans="2:17" s="244" customFormat="1" ht="15.75" thickBot="1" x14ac:dyDescent="0.25">
      <c r="B44" s="280"/>
      <c r="C44" s="281"/>
      <c r="D44" s="29"/>
      <c r="E44" s="29"/>
      <c r="F44" s="281" t="s">
        <v>40</v>
      </c>
      <c r="G44" s="281"/>
      <c r="H44" s="281"/>
      <c r="I44" s="281"/>
      <c r="J44" s="81">
        <f>J36+J39</f>
        <v>649500</v>
      </c>
      <c r="K44" s="22"/>
      <c r="L44" s="281" t="s">
        <v>65</v>
      </c>
      <c r="M44" s="281"/>
      <c r="N44" s="281"/>
      <c r="O44" s="281"/>
      <c r="P44" s="81">
        <f>P42+P36+P35</f>
        <v>635784.6371770408</v>
      </c>
      <c r="Q44" s="282"/>
    </row>
    <row r="45" spans="2:17" ht="15.75" thickTop="1" x14ac:dyDescent="0.2">
      <c r="B45" s="280"/>
      <c r="C45" s="281"/>
      <c r="D45" s="29"/>
      <c r="E45" s="29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2"/>
    </row>
    <row r="46" spans="2:17" ht="15.75" x14ac:dyDescent="0.25">
      <c r="B46" s="280"/>
      <c r="C46" s="281" t="s">
        <v>187</v>
      </c>
      <c r="D46" s="44">
        <f>J44-P44</f>
        <v>13715.3628229592</v>
      </c>
      <c r="E46" s="281"/>
      <c r="F46" s="294"/>
      <c r="G46" s="294"/>
      <c r="H46" s="294"/>
      <c r="I46" s="78"/>
      <c r="J46" s="78"/>
      <c r="K46" s="78"/>
      <c r="L46" s="43"/>
      <c r="M46" s="43"/>
      <c r="N46" s="43"/>
      <c r="O46" s="43"/>
      <c r="P46" s="281"/>
      <c r="Q46" s="282"/>
    </row>
    <row r="47" spans="2:17" ht="15.75" thickBot="1" x14ac:dyDescent="0.25">
      <c r="B47" s="295"/>
      <c r="C47" s="296"/>
      <c r="D47" s="297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8"/>
    </row>
    <row r="48" spans="2:17" ht="15.75" thickBot="1" x14ac:dyDescent="0.25"/>
    <row r="49" spans="2:17" ht="15.75" x14ac:dyDescent="0.25">
      <c r="B49" s="277"/>
      <c r="C49" s="299" t="s">
        <v>206</v>
      </c>
      <c r="D49" s="278"/>
      <c r="E49" s="300"/>
      <c r="F49" s="300"/>
      <c r="G49" s="300"/>
      <c r="H49" s="300"/>
      <c r="I49" s="279"/>
    </row>
    <row r="50" spans="2:17" x14ac:dyDescent="0.2">
      <c r="B50" s="283"/>
      <c r="C50" s="281" t="s">
        <v>192</v>
      </c>
      <c r="D50" s="281"/>
      <c r="E50" s="281"/>
      <c r="F50" s="281"/>
      <c r="G50" s="281"/>
      <c r="H50" s="301">
        <f>D9/D22</f>
        <v>891600</v>
      </c>
      <c r="I50" s="286"/>
      <c r="J50" s="244"/>
      <c r="K50" s="244"/>
      <c r="L50" s="244"/>
      <c r="M50" s="244"/>
      <c r="N50" s="244"/>
      <c r="O50" s="244"/>
      <c r="P50" s="244"/>
      <c r="Q50" s="244"/>
    </row>
    <row r="51" spans="2:17" x14ac:dyDescent="0.2">
      <c r="B51" s="283"/>
      <c r="C51" s="281" t="s">
        <v>195</v>
      </c>
      <c r="D51" s="281"/>
      <c r="E51" s="281"/>
      <c r="F51" s="281"/>
      <c r="G51" s="281"/>
      <c r="H51" s="302">
        <f>J17/H50</f>
        <v>0.44470614625392552</v>
      </c>
      <c r="I51" s="286"/>
      <c r="J51" s="244"/>
      <c r="K51" s="244"/>
      <c r="L51" s="244"/>
      <c r="M51" s="244"/>
      <c r="N51" s="244"/>
      <c r="O51" s="244"/>
      <c r="P51" s="244"/>
      <c r="Q51" s="244"/>
    </row>
    <row r="52" spans="2:17" x14ac:dyDescent="0.2">
      <c r="B52" s="283"/>
      <c r="C52" s="281" t="s">
        <v>175</v>
      </c>
      <c r="D52" s="281"/>
      <c r="E52" s="281"/>
      <c r="F52" s="281"/>
      <c r="G52" s="281"/>
      <c r="H52" s="301">
        <f>H51*D32</f>
        <v>475800</v>
      </c>
      <c r="I52" s="286"/>
      <c r="J52" s="244"/>
      <c r="K52" s="244"/>
      <c r="L52" s="244"/>
      <c r="M52" s="244"/>
      <c r="N52" s="244"/>
      <c r="O52" s="244"/>
      <c r="P52" s="244"/>
      <c r="Q52" s="244"/>
    </row>
    <row r="53" spans="2:17" x14ac:dyDescent="0.2">
      <c r="B53" s="283"/>
      <c r="C53" s="281"/>
      <c r="D53" s="281"/>
      <c r="E53" s="281"/>
      <c r="F53" s="281"/>
      <c r="G53" s="281"/>
      <c r="H53" s="281"/>
      <c r="I53" s="286"/>
      <c r="J53" s="244"/>
      <c r="K53" s="244"/>
      <c r="L53" s="244"/>
      <c r="M53" s="244"/>
      <c r="N53" s="244"/>
      <c r="O53" s="244"/>
      <c r="P53" s="244"/>
      <c r="Q53" s="244"/>
    </row>
    <row r="54" spans="2:17" ht="16.5" customHeight="1" x14ac:dyDescent="0.25">
      <c r="B54" s="283"/>
      <c r="C54" s="281" t="s">
        <v>193</v>
      </c>
      <c r="D54" s="303">
        <f>(H52+J36)-P44</f>
        <v>13715.3628229592</v>
      </c>
      <c r="E54" s="281"/>
      <c r="F54" s="281"/>
      <c r="G54" s="281"/>
      <c r="H54" s="281"/>
      <c r="I54" s="286"/>
      <c r="J54" s="244"/>
      <c r="K54" s="244"/>
      <c r="L54" s="244"/>
      <c r="M54" s="244"/>
      <c r="N54" s="244"/>
      <c r="O54" s="244"/>
      <c r="P54" s="244"/>
      <c r="Q54" s="244"/>
    </row>
    <row r="55" spans="2:17" s="244" customFormat="1" ht="15.75" thickBot="1" x14ac:dyDescent="0.25">
      <c r="B55" s="304"/>
      <c r="C55" s="297"/>
      <c r="D55" s="297"/>
      <c r="E55" s="297"/>
      <c r="F55" s="297"/>
      <c r="G55" s="297"/>
      <c r="H55" s="297"/>
      <c r="I55" s="305"/>
    </row>
    <row r="56" spans="2:17" s="244" customFormat="1" ht="15.75" thickBot="1" x14ac:dyDescent="0.25"/>
    <row r="57" spans="2:17" s="244" customFormat="1" ht="15.75" x14ac:dyDescent="0.25">
      <c r="B57" s="306"/>
      <c r="C57" s="307" t="s">
        <v>205</v>
      </c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9"/>
    </row>
    <row r="58" spans="2:17" s="244" customFormat="1" x14ac:dyDescent="0.2">
      <c r="B58" s="310"/>
      <c r="C58" s="311" t="s">
        <v>220</v>
      </c>
      <c r="D58" s="312">
        <f>(P13+P14)/P20</f>
        <v>0.77616250451219115</v>
      </c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3"/>
    </row>
    <row r="59" spans="2:17" s="244" customFormat="1" x14ac:dyDescent="0.2">
      <c r="B59" s="310"/>
      <c r="C59" s="311" t="s">
        <v>219</v>
      </c>
      <c r="D59" s="312">
        <f>D58/(1+D58)</f>
        <v>0.43698845265588915</v>
      </c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3"/>
    </row>
    <row r="60" spans="2:17" s="244" customFormat="1" x14ac:dyDescent="0.2">
      <c r="B60" s="310"/>
      <c r="C60" s="311" t="s">
        <v>221</v>
      </c>
      <c r="D60" s="312">
        <f>1/(1+D58)</f>
        <v>0.56301154734411085</v>
      </c>
      <c r="E60" s="311"/>
      <c r="F60" s="311"/>
      <c r="G60" s="311"/>
      <c r="H60" s="314"/>
      <c r="I60" s="311"/>
      <c r="J60" s="311"/>
      <c r="K60" s="311"/>
      <c r="L60" s="311"/>
      <c r="M60" s="311"/>
      <c r="N60" s="311"/>
      <c r="O60" s="311"/>
      <c r="P60" s="311"/>
      <c r="Q60" s="313"/>
    </row>
    <row r="61" spans="2:17" s="244" customFormat="1" x14ac:dyDescent="0.2">
      <c r="B61" s="310"/>
      <c r="C61" s="311" t="s">
        <v>194</v>
      </c>
      <c r="D61" s="315">
        <f>D58*P42</f>
        <v>299773.0816956443</v>
      </c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311"/>
      <c r="Q61" s="313"/>
    </row>
    <row r="62" spans="2:17" s="244" customFormat="1" x14ac:dyDescent="0.2">
      <c r="B62" s="310"/>
      <c r="C62" s="311" t="s">
        <v>196</v>
      </c>
      <c r="D62" s="316">
        <f>D61-P14-P70</f>
        <v>50213.081695644301</v>
      </c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3"/>
    </row>
    <row r="63" spans="2:17" s="244" customFormat="1" x14ac:dyDescent="0.2">
      <c r="B63" s="310"/>
      <c r="C63" s="311" t="s">
        <v>197</v>
      </c>
      <c r="D63" s="315">
        <f>P79-J79</f>
        <v>36497.718872684985</v>
      </c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Q63" s="313"/>
    </row>
    <row r="64" spans="2:17" s="244" customFormat="1" x14ac:dyDescent="0.2">
      <c r="B64" s="310"/>
      <c r="C64" s="311"/>
      <c r="D64" s="315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3"/>
    </row>
    <row r="65" spans="2:17" s="244" customFormat="1" ht="15.75" x14ac:dyDescent="0.25">
      <c r="B65" s="310"/>
      <c r="C65" s="311" t="s">
        <v>130</v>
      </c>
      <c r="D65" s="317">
        <f>IF(D63&gt;0,D62,D62-D63)</f>
        <v>50213.081695644301</v>
      </c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3"/>
    </row>
    <row r="66" spans="2:17" s="244" customFormat="1" x14ac:dyDescent="0.2">
      <c r="B66" s="310"/>
      <c r="C66" s="311"/>
      <c r="D66" s="318"/>
      <c r="E66" s="311"/>
      <c r="F66" s="319"/>
      <c r="G66" s="319"/>
      <c r="H66" s="319"/>
      <c r="I66" s="319" t="s">
        <v>6</v>
      </c>
      <c r="J66" s="319"/>
      <c r="K66" s="319"/>
      <c r="L66" s="319"/>
      <c r="M66" s="319" t="s">
        <v>66</v>
      </c>
      <c r="N66" s="319"/>
      <c r="O66" s="319"/>
      <c r="P66" s="320"/>
      <c r="Q66" s="313"/>
    </row>
    <row r="67" spans="2:17" s="244" customFormat="1" x14ac:dyDescent="0.2">
      <c r="B67" s="310"/>
      <c r="C67" s="311"/>
      <c r="D67" s="318"/>
      <c r="E67" s="311"/>
      <c r="F67" s="311" t="s">
        <v>3</v>
      </c>
      <c r="G67" s="311"/>
      <c r="H67" s="311"/>
      <c r="I67" s="311"/>
      <c r="J67" s="318"/>
      <c r="K67" s="318"/>
      <c r="L67" s="311" t="s">
        <v>1</v>
      </c>
      <c r="M67" s="311"/>
      <c r="N67" s="311"/>
      <c r="O67" s="311"/>
      <c r="P67" s="321"/>
      <c r="Q67" s="313"/>
    </row>
    <row r="68" spans="2:17" s="244" customFormat="1" x14ac:dyDescent="0.2">
      <c r="B68" s="310"/>
      <c r="C68" s="311"/>
      <c r="D68" s="318"/>
      <c r="E68" s="311"/>
      <c r="F68" s="311"/>
      <c r="G68" s="311" t="s">
        <v>30</v>
      </c>
      <c r="H68" s="311"/>
      <c r="I68" s="311"/>
      <c r="J68" s="315">
        <f>J11*(1+$D$21)</f>
        <v>29136</v>
      </c>
      <c r="K68" s="315"/>
      <c r="L68" s="311"/>
      <c r="M68" s="311" t="s">
        <v>34</v>
      </c>
      <c r="N68" s="311"/>
      <c r="O68" s="311"/>
      <c r="P68" s="315">
        <f>P11*(1+$D$21)</f>
        <v>78240</v>
      </c>
      <c r="Q68" s="313"/>
    </row>
    <row r="69" spans="2:17" s="244" customFormat="1" x14ac:dyDescent="0.2">
      <c r="B69" s="310"/>
      <c r="C69" s="311"/>
      <c r="D69" s="318"/>
      <c r="E69" s="311"/>
      <c r="F69" s="311"/>
      <c r="G69" s="311" t="s">
        <v>31</v>
      </c>
      <c r="H69" s="311"/>
      <c r="I69" s="311"/>
      <c r="J69" s="322">
        <f t="shared" ref="J69:J70" si="0">J12*(1+$D$21)</f>
        <v>44484</v>
      </c>
      <c r="K69" s="323"/>
      <c r="L69" s="311"/>
      <c r="M69" s="311" t="s">
        <v>35</v>
      </c>
      <c r="N69" s="311"/>
      <c r="O69" s="311"/>
      <c r="P69" s="324">
        <f>P12</f>
        <v>16320</v>
      </c>
      <c r="Q69" s="313"/>
    </row>
    <row r="70" spans="2:17" s="244" customFormat="1" x14ac:dyDescent="0.2">
      <c r="B70" s="310"/>
      <c r="C70" s="311"/>
      <c r="D70" s="318"/>
      <c r="E70" s="311"/>
      <c r="F70" s="311"/>
      <c r="G70" s="311" t="s">
        <v>32</v>
      </c>
      <c r="H70" s="311"/>
      <c r="I70" s="311"/>
      <c r="J70" s="325">
        <f t="shared" si="0"/>
        <v>100080</v>
      </c>
      <c r="K70" s="323"/>
      <c r="L70" s="311"/>
      <c r="M70" s="311"/>
      <c r="N70" s="311" t="s">
        <v>13</v>
      </c>
      <c r="O70" s="311"/>
      <c r="P70" s="316">
        <f>P68+P69</f>
        <v>94560</v>
      </c>
      <c r="Q70" s="313"/>
    </row>
    <row r="71" spans="2:17" s="244" customFormat="1" x14ac:dyDescent="0.2">
      <c r="B71" s="310"/>
      <c r="C71" s="311"/>
      <c r="D71" s="318"/>
      <c r="E71" s="311"/>
      <c r="F71" s="311"/>
      <c r="G71" s="311"/>
      <c r="H71" s="311" t="s">
        <v>13</v>
      </c>
      <c r="I71" s="311"/>
      <c r="J71" s="315">
        <f>J68+J69+J70</f>
        <v>173700</v>
      </c>
      <c r="K71" s="315"/>
      <c r="L71" s="311" t="s">
        <v>26</v>
      </c>
      <c r="M71" s="311"/>
      <c r="N71" s="311"/>
      <c r="O71" s="311"/>
      <c r="P71" s="326">
        <f>P14+D62</f>
        <v>205213.0816956443</v>
      </c>
      <c r="Q71" s="313"/>
    </row>
    <row r="72" spans="2:17" s="244" customFormat="1" x14ac:dyDescent="0.2">
      <c r="B72" s="310"/>
      <c r="C72" s="311"/>
      <c r="D72" s="318"/>
      <c r="E72" s="311"/>
      <c r="F72" s="311" t="s">
        <v>25</v>
      </c>
      <c r="G72" s="311"/>
      <c r="H72" s="311"/>
      <c r="I72" s="311"/>
      <c r="J72" s="327"/>
      <c r="K72" s="327"/>
      <c r="L72" s="311"/>
      <c r="M72" s="311"/>
      <c r="N72" s="311"/>
      <c r="O72" s="311"/>
      <c r="P72" s="328"/>
      <c r="Q72" s="313"/>
    </row>
    <row r="73" spans="2:17" s="244" customFormat="1" x14ac:dyDescent="0.2">
      <c r="B73" s="310"/>
      <c r="C73" s="311"/>
      <c r="D73" s="318"/>
      <c r="E73" s="311"/>
      <c r="F73" s="311"/>
      <c r="G73" s="311" t="s">
        <v>61</v>
      </c>
      <c r="H73" s="311"/>
      <c r="I73" s="311"/>
      <c r="J73" s="329"/>
      <c r="K73" s="329"/>
      <c r="L73" s="311" t="s">
        <v>38</v>
      </c>
      <c r="M73" s="311"/>
      <c r="N73" s="311"/>
      <c r="O73" s="311"/>
      <c r="P73" s="330"/>
      <c r="Q73" s="313"/>
    </row>
    <row r="74" spans="2:17" s="244" customFormat="1" x14ac:dyDescent="0.2">
      <c r="B74" s="310"/>
      <c r="C74" s="311"/>
      <c r="D74" s="318"/>
      <c r="E74" s="311"/>
      <c r="F74" s="311"/>
      <c r="G74" s="311" t="s">
        <v>62</v>
      </c>
      <c r="H74" s="311"/>
      <c r="I74" s="311"/>
      <c r="J74" s="320">
        <f>J17*(1+$D$21)</f>
        <v>475800</v>
      </c>
      <c r="K74" s="323"/>
      <c r="L74" s="311"/>
      <c r="M74" s="311" t="s">
        <v>63</v>
      </c>
      <c r="N74" s="311"/>
      <c r="O74" s="311"/>
      <c r="P74" s="330"/>
      <c r="Q74" s="313"/>
    </row>
    <row r="75" spans="2:17" s="244" customFormat="1" x14ac:dyDescent="0.2">
      <c r="B75" s="310"/>
      <c r="C75" s="311"/>
      <c r="D75" s="318"/>
      <c r="E75" s="311"/>
      <c r="F75" s="311"/>
      <c r="G75" s="311"/>
      <c r="H75" s="311"/>
      <c r="I75" s="311"/>
      <c r="J75" s="323"/>
      <c r="K75" s="329"/>
      <c r="L75" s="311"/>
      <c r="M75" s="311" t="s">
        <v>64</v>
      </c>
      <c r="N75" s="311"/>
      <c r="O75" s="311"/>
      <c r="P75" s="316">
        <f>P18</f>
        <v>130000</v>
      </c>
      <c r="Q75" s="313"/>
    </row>
    <row r="76" spans="2:17" s="244" customFormat="1" x14ac:dyDescent="0.2">
      <c r="B76" s="310"/>
      <c r="C76" s="311"/>
      <c r="D76" s="318"/>
      <c r="E76" s="311"/>
      <c r="F76" s="311"/>
      <c r="G76" s="311"/>
      <c r="H76" s="311"/>
      <c r="I76" s="311"/>
      <c r="J76" s="329"/>
      <c r="K76" s="329"/>
      <c r="L76" s="311"/>
      <c r="M76" s="311" t="s">
        <v>37</v>
      </c>
      <c r="N76" s="311"/>
      <c r="O76" s="311"/>
      <c r="P76" s="331">
        <f>P19+D42</f>
        <v>256224.63717704074</v>
      </c>
      <c r="Q76" s="313"/>
    </row>
    <row r="77" spans="2:17" s="244" customFormat="1" x14ac:dyDescent="0.2">
      <c r="B77" s="310"/>
      <c r="C77" s="311"/>
      <c r="D77" s="318"/>
      <c r="E77" s="311"/>
      <c r="F77" s="311"/>
      <c r="G77" s="311"/>
      <c r="H77" s="311"/>
      <c r="I77" s="311"/>
      <c r="J77" s="327"/>
      <c r="K77" s="327"/>
      <c r="L77" s="311"/>
      <c r="M77" s="311"/>
      <c r="N77" s="311" t="s">
        <v>13</v>
      </c>
      <c r="O77" s="311"/>
      <c r="P77" s="332">
        <f>P75+P76</f>
        <v>386224.63717704074</v>
      </c>
      <c r="Q77" s="313"/>
    </row>
    <row r="78" spans="2:17" s="244" customFormat="1" x14ac:dyDescent="0.2">
      <c r="B78" s="310"/>
      <c r="C78" s="311"/>
      <c r="D78" s="318"/>
      <c r="E78" s="311"/>
      <c r="F78" s="311"/>
      <c r="G78" s="311"/>
      <c r="H78" s="311"/>
      <c r="I78" s="311"/>
      <c r="J78" s="327"/>
      <c r="K78" s="327"/>
      <c r="L78" s="311" t="s">
        <v>39</v>
      </c>
      <c r="M78" s="311"/>
      <c r="N78" s="311"/>
      <c r="O78" s="311"/>
      <c r="P78" s="311"/>
      <c r="Q78" s="313"/>
    </row>
    <row r="79" spans="2:17" s="244" customFormat="1" ht="15.75" thickBot="1" x14ac:dyDescent="0.25">
      <c r="B79" s="310"/>
      <c r="C79" s="311"/>
      <c r="D79" s="318"/>
      <c r="E79" s="311"/>
      <c r="F79" s="311" t="s">
        <v>40</v>
      </c>
      <c r="G79" s="311"/>
      <c r="H79" s="311"/>
      <c r="I79" s="311"/>
      <c r="J79" s="333">
        <f>J71+J74</f>
        <v>649500</v>
      </c>
      <c r="K79" s="315"/>
      <c r="L79" s="311" t="s">
        <v>65</v>
      </c>
      <c r="M79" s="311"/>
      <c r="N79" s="311"/>
      <c r="O79" s="311"/>
      <c r="P79" s="333">
        <f>P70+P71+P77</f>
        <v>685997.71887268499</v>
      </c>
      <c r="Q79" s="313"/>
    </row>
    <row r="80" spans="2:17" s="244" customFormat="1" ht="15.75" thickTop="1" x14ac:dyDescent="0.2">
      <c r="B80" s="310"/>
      <c r="C80" s="311"/>
      <c r="D80" s="318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3"/>
    </row>
    <row r="81" spans="2:17" s="244" customFormat="1" x14ac:dyDescent="0.2">
      <c r="B81" s="310"/>
      <c r="C81" s="311"/>
      <c r="D81" s="318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3"/>
    </row>
    <row r="82" spans="2:17" s="244" customFormat="1" x14ac:dyDescent="0.2">
      <c r="B82" s="310"/>
      <c r="C82" s="311"/>
      <c r="D82" s="318"/>
      <c r="E82" s="311"/>
      <c r="F82" s="319"/>
      <c r="G82" s="319"/>
      <c r="H82" s="319"/>
      <c r="I82" s="319" t="s">
        <v>6</v>
      </c>
      <c r="J82" s="319"/>
      <c r="K82" s="319"/>
      <c r="L82" s="319"/>
      <c r="M82" s="319" t="s">
        <v>66</v>
      </c>
      <c r="N82" s="319"/>
      <c r="O82" s="319"/>
      <c r="P82" s="320"/>
      <c r="Q82" s="313"/>
    </row>
    <row r="83" spans="2:17" s="244" customFormat="1" x14ac:dyDescent="0.2">
      <c r="B83" s="310"/>
      <c r="C83" s="311"/>
      <c r="D83" s="318"/>
      <c r="E83" s="311"/>
      <c r="F83" s="311" t="s">
        <v>3</v>
      </c>
      <c r="G83" s="311"/>
      <c r="H83" s="311"/>
      <c r="I83" s="311"/>
      <c r="J83" s="318"/>
      <c r="K83" s="318"/>
      <c r="L83" s="311" t="s">
        <v>1</v>
      </c>
      <c r="M83" s="311"/>
      <c r="N83" s="311"/>
      <c r="O83" s="311"/>
      <c r="P83" s="321"/>
      <c r="Q83" s="313"/>
    </row>
    <row r="84" spans="2:17" s="244" customFormat="1" x14ac:dyDescent="0.2">
      <c r="B84" s="310"/>
      <c r="C84" s="311"/>
      <c r="D84" s="318"/>
      <c r="E84" s="311"/>
      <c r="F84" s="311"/>
      <c r="G84" s="311" t="s">
        <v>30</v>
      </c>
      <c r="H84" s="311"/>
      <c r="I84" s="311"/>
      <c r="J84" s="315">
        <f>J68</f>
        <v>29136</v>
      </c>
      <c r="K84" s="315"/>
      <c r="L84" s="311"/>
      <c r="M84" s="311" t="s">
        <v>34</v>
      </c>
      <c r="N84" s="311"/>
      <c r="O84" s="311"/>
      <c r="P84" s="315">
        <f>P68</f>
        <v>78240</v>
      </c>
      <c r="Q84" s="313"/>
    </row>
    <row r="85" spans="2:17" s="244" customFormat="1" x14ac:dyDescent="0.2">
      <c r="B85" s="310"/>
      <c r="C85" s="311"/>
      <c r="D85" s="318"/>
      <c r="E85" s="311"/>
      <c r="F85" s="311"/>
      <c r="G85" s="311" t="s">
        <v>198</v>
      </c>
      <c r="H85" s="311"/>
      <c r="I85" s="311"/>
      <c r="J85" s="322">
        <f>D63</f>
        <v>36497.718872684985</v>
      </c>
      <c r="K85" s="323"/>
      <c r="L85" s="311"/>
      <c r="M85" s="311" t="s">
        <v>35</v>
      </c>
      <c r="N85" s="311"/>
      <c r="O85" s="311"/>
      <c r="P85" s="324">
        <f>P69</f>
        <v>16320</v>
      </c>
      <c r="Q85" s="313"/>
    </row>
    <row r="86" spans="2:17" s="244" customFormat="1" x14ac:dyDescent="0.2">
      <c r="B86" s="310"/>
      <c r="C86" s="311"/>
      <c r="D86" s="318"/>
      <c r="E86" s="311"/>
      <c r="F86" s="311"/>
      <c r="G86" s="311" t="s">
        <v>31</v>
      </c>
      <c r="H86" s="311"/>
      <c r="I86" s="311"/>
      <c r="J86" s="323">
        <f>J69</f>
        <v>44484</v>
      </c>
      <c r="K86" s="323"/>
      <c r="L86" s="311"/>
      <c r="M86" s="311"/>
      <c r="N86" s="311" t="s">
        <v>13</v>
      </c>
      <c r="O86" s="311"/>
      <c r="P86" s="316">
        <f>P84+P85</f>
        <v>94560</v>
      </c>
      <c r="Q86" s="313"/>
    </row>
    <row r="87" spans="2:17" s="244" customFormat="1" x14ac:dyDescent="0.2">
      <c r="B87" s="310"/>
      <c r="C87" s="311"/>
      <c r="D87" s="318"/>
      <c r="E87" s="311"/>
      <c r="F87" s="311"/>
      <c r="G87" s="311" t="s">
        <v>32</v>
      </c>
      <c r="H87" s="311"/>
      <c r="I87" s="311"/>
      <c r="J87" s="331">
        <f>J70</f>
        <v>100080</v>
      </c>
      <c r="K87" s="315"/>
      <c r="L87" s="311" t="s">
        <v>26</v>
      </c>
      <c r="M87" s="311"/>
      <c r="N87" s="311"/>
      <c r="O87" s="311"/>
      <c r="P87" s="324">
        <f>P71</f>
        <v>205213.0816956443</v>
      </c>
      <c r="Q87" s="313"/>
    </row>
    <row r="88" spans="2:17" s="244" customFormat="1" x14ac:dyDescent="0.2">
      <c r="B88" s="310"/>
      <c r="C88" s="311"/>
      <c r="D88" s="318"/>
      <c r="E88" s="311"/>
      <c r="F88" s="311"/>
      <c r="G88" s="311"/>
      <c r="H88" s="311" t="s">
        <v>13</v>
      </c>
      <c r="I88" s="311"/>
      <c r="J88" s="315">
        <f>J84+J85+J86+J87</f>
        <v>210197.71887268499</v>
      </c>
      <c r="K88" s="327"/>
      <c r="L88" s="311"/>
      <c r="M88" s="311"/>
      <c r="N88" s="311"/>
      <c r="O88" s="311"/>
      <c r="P88" s="328"/>
      <c r="Q88" s="313"/>
    </row>
    <row r="89" spans="2:17" s="244" customFormat="1" x14ac:dyDescent="0.2">
      <c r="B89" s="310"/>
      <c r="C89" s="311"/>
      <c r="D89" s="318"/>
      <c r="E89" s="311"/>
      <c r="F89" s="311" t="s">
        <v>25</v>
      </c>
      <c r="G89" s="311"/>
      <c r="H89" s="311"/>
      <c r="I89" s="311"/>
      <c r="J89" s="327"/>
      <c r="K89" s="329"/>
      <c r="L89" s="311" t="s">
        <v>38</v>
      </c>
      <c r="M89" s="311"/>
      <c r="N89" s="311"/>
      <c r="O89" s="311"/>
      <c r="P89" s="330"/>
      <c r="Q89" s="313"/>
    </row>
    <row r="90" spans="2:17" s="244" customFormat="1" x14ac:dyDescent="0.2">
      <c r="B90" s="310"/>
      <c r="C90" s="311"/>
      <c r="D90" s="318"/>
      <c r="E90" s="311"/>
      <c r="F90" s="311"/>
      <c r="G90" s="311" t="s">
        <v>61</v>
      </c>
      <c r="H90" s="311"/>
      <c r="I90" s="311"/>
      <c r="J90" s="329"/>
      <c r="K90" s="323"/>
      <c r="L90" s="311"/>
      <c r="M90" s="311" t="s">
        <v>63</v>
      </c>
      <c r="N90" s="311"/>
      <c r="O90" s="311"/>
      <c r="P90" s="330"/>
      <c r="Q90" s="313"/>
    </row>
    <row r="91" spans="2:17" s="244" customFormat="1" x14ac:dyDescent="0.2">
      <c r="B91" s="310"/>
      <c r="C91" s="311"/>
      <c r="D91" s="318"/>
      <c r="E91" s="311"/>
      <c r="F91" s="311"/>
      <c r="G91" s="311" t="s">
        <v>62</v>
      </c>
      <c r="H91" s="311"/>
      <c r="I91" s="311"/>
      <c r="J91" s="331">
        <f>J74</f>
        <v>475800</v>
      </c>
      <c r="K91" s="329"/>
      <c r="L91" s="311"/>
      <c r="M91" s="311" t="s">
        <v>64</v>
      </c>
      <c r="N91" s="311"/>
      <c r="O91" s="311"/>
      <c r="P91" s="316">
        <f>P75</f>
        <v>130000</v>
      </c>
      <c r="Q91" s="313"/>
    </row>
    <row r="92" spans="2:17" s="244" customFormat="1" x14ac:dyDescent="0.2">
      <c r="B92" s="310"/>
      <c r="C92" s="311"/>
      <c r="D92" s="318"/>
      <c r="E92" s="311"/>
      <c r="F92" s="311"/>
      <c r="G92" s="311"/>
      <c r="H92" s="311"/>
      <c r="I92" s="311"/>
      <c r="J92" s="323"/>
      <c r="K92" s="329"/>
      <c r="L92" s="311"/>
      <c r="M92" s="311" t="s">
        <v>37</v>
      </c>
      <c r="N92" s="311"/>
      <c r="O92" s="311"/>
      <c r="P92" s="331">
        <f>P76</f>
        <v>256224.63717704074</v>
      </c>
      <c r="Q92" s="313"/>
    </row>
    <row r="93" spans="2:17" s="244" customFormat="1" x14ac:dyDescent="0.2">
      <c r="B93" s="310"/>
      <c r="C93" s="311"/>
      <c r="D93" s="318"/>
      <c r="E93" s="311"/>
      <c r="F93" s="311"/>
      <c r="G93" s="311"/>
      <c r="H93" s="311"/>
      <c r="I93" s="311"/>
      <c r="J93" s="327"/>
      <c r="K93" s="327"/>
      <c r="L93" s="311"/>
      <c r="M93" s="311"/>
      <c r="N93" s="311" t="s">
        <v>13</v>
      </c>
      <c r="O93" s="311"/>
      <c r="P93" s="332">
        <f>P91+P92</f>
        <v>386224.63717704074</v>
      </c>
      <c r="Q93" s="313"/>
    </row>
    <row r="94" spans="2:17" s="244" customFormat="1" x14ac:dyDescent="0.2">
      <c r="B94" s="310"/>
      <c r="C94" s="311"/>
      <c r="D94" s="318"/>
      <c r="E94" s="311"/>
      <c r="F94" s="311"/>
      <c r="G94" s="311"/>
      <c r="H94" s="311"/>
      <c r="I94" s="311"/>
      <c r="J94" s="327"/>
      <c r="K94" s="327"/>
      <c r="L94" s="311" t="s">
        <v>39</v>
      </c>
      <c r="M94" s="311"/>
      <c r="N94" s="311"/>
      <c r="O94" s="311"/>
      <c r="P94" s="311"/>
      <c r="Q94" s="313"/>
    </row>
    <row r="95" spans="2:17" s="244" customFormat="1" ht="15.75" thickBot="1" x14ac:dyDescent="0.25">
      <c r="B95" s="310"/>
      <c r="C95" s="311"/>
      <c r="D95" s="318"/>
      <c r="E95" s="311"/>
      <c r="F95" s="311" t="s">
        <v>40</v>
      </c>
      <c r="G95" s="311"/>
      <c r="H95" s="311"/>
      <c r="I95" s="311"/>
      <c r="J95" s="333">
        <f>J88+J91</f>
        <v>685997.71887268499</v>
      </c>
      <c r="K95" s="315"/>
      <c r="L95" s="311" t="s">
        <v>65</v>
      </c>
      <c r="M95" s="311"/>
      <c r="N95" s="311"/>
      <c r="O95" s="311"/>
      <c r="P95" s="333">
        <f>P86+P87+P93</f>
        <v>685997.71887268499</v>
      </c>
      <c r="Q95" s="313"/>
    </row>
    <row r="96" spans="2:17" s="244" customFormat="1" ht="15.75" thickTop="1" x14ac:dyDescent="0.2">
      <c r="B96" s="310"/>
      <c r="C96" s="311"/>
      <c r="D96" s="318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3"/>
    </row>
    <row r="97" spans="2:17" s="244" customFormat="1" x14ac:dyDescent="0.2">
      <c r="B97" s="310"/>
      <c r="C97" s="311" t="s">
        <v>199</v>
      </c>
      <c r="D97" s="318">
        <f>J79*D59</f>
        <v>283824</v>
      </c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3"/>
    </row>
    <row r="98" spans="2:17" s="244" customFormat="1" x14ac:dyDescent="0.2">
      <c r="B98" s="310"/>
      <c r="C98" s="311" t="s">
        <v>200</v>
      </c>
      <c r="D98" s="318">
        <f>J79*D60</f>
        <v>365676</v>
      </c>
      <c r="E98" s="311"/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3"/>
    </row>
    <row r="99" spans="2:17" s="244" customFormat="1" x14ac:dyDescent="0.2">
      <c r="B99" s="310"/>
      <c r="C99" s="311"/>
      <c r="D99" s="318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3"/>
    </row>
    <row r="100" spans="2:17" s="244" customFormat="1" x14ac:dyDescent="0.2">
      <c r="B100" s="310"/>
      <c r="C100" s="311" t="s">
        <v>201</v>
      </c>
      <c r="D100" s="315">
        <f>(P86+P87)-D97</f>
        <v>15949.081695644301</v>
      </c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3"/>
    </row>
    <row r="101" spans="2:17" s="244" customFormat="1" x14ac:dyDescent="0.2">
      <c r="B101" s="310"/>
      <c r="C101" s="311" t="s">
        <v>202</v>
      </c>
      <c r="D101" s="315">
        <f>P93-D98</f>
        <v>20548.637177040742</v>
      </c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3"/>
    </row>
    <row r="102" spans="2:17" s="244" customFormat="1" x14ac:dyDescent="0.2">
      <c r="B102" s="310"/>
      <c r="C102" s="311"/>
      <c r="D102" s="318"/>
      <c r="E102" s="311"/>
      <c r="F102" s="319"/>
      <c r="G102" s="319"/>
      <c r="H102" s="319"/>
      <c r="I102" s="319" t="s">
        <v>6</v>
      </c>
      <c r="J102" s="319"/>
      <c r="K102" s="319"/>
      <c r="L102" s="319"/>
      <c r="M102" s="319" t="s">
        <v>66</v>
      </c>
      <c r="N102" s="319"/>
      <c r="O102" s="319"/>
      <c r="P102" s="320"/>
      <c r="Q102" s="313"/>
    </row>
    <row r="103" spans="2:17" s="244" customFormat="1" x14ac:dyDescent="0.2">
      <c r="B103" s="310"/>
      <c r="C103" s="311"/>
      <c r="D103" s="318"/>
      <c r="E103" s="311"/>
      <c r="F103" s="311" t="s">
        <v>3</v>
      </c>
      <c r="G103" s="311"/>
      <c r="H103" s="311"/>
      <c r="I103" s="311"/>
      <c r="J103" s="318"/>
      <c r="K103" s="318"/>
      <c r="L103" s="311" t="s">
        <v>1</v>
      </c>
      <c r="M103" s="311"/>
      <c r="N103" s="311"/>
      <c r="O103" s="311"/>
      <c r="P103" s="321"/>
      <c r="Q103" s="313"/>
    </row>
    <row r="104" spans="2:17" s="244" customFormat="1" x14ac:dyDescent="0.2">
      <c r="B104" s="310"/>
      <c r="C104" s="311"/>
      <c r="D104" s="318"/>
      <c r="E104" s="311"/>
      <c r="F104" s="311"/>
      <c r="G104" s="311" t="s">
        <v>30</v>
      </c>
      <c r="H104" s="311"/>
      <c r="I104" s="311"/>
      <c r="J104" s="315">
        <f>J84</f>
        <v>29136</v>
      </c>
      <c r="K104" s="315"/>
      <c r="L104" s="311"/>
      <c r="M104" s="311" t="s">
        <v>34</v>
      </c>
      <c r="N104" s="311"/>
      <c r="O104" s="311"/>
      <c r="P104" s="316">
        <f>P84</f>
        <v>78240</v>
      </c>
      <c r="Q104" s="313"/>
    </row>
    <row r="105" spans="2:17" s="244" customFormat="1" x14ac:dyDescent="0.2">
      <c r="B105" s="310"/>
      <c r="C105" s="311"/>
      <c r="D105" s="318"/>
      <c r="E105" s="311"/>
      <c r="F105" s="311"/>
      <c r="G105" s="311" t="s">
        <v>31</v>
      </c>
      <c r="H105" s="311"/>
      <c r="I105" s="311"/>
      <c r="J105" s="323">
        <f>J86</f>
        <v>44484</v>
      </c>
      <c r="K105" s="323"/>
      <c r="L105" s="311"/>
      <c r="M105" s="311" t="s">
        <v>35</v>
      </c>
      <c r="N105" s="311"/>
      <c r="O105" s="311"/>
      <c r="P105" s="324">
        <f>P85</f>
        <v>16320</v>
      </c>
      <c r="Q105" s="313"/>
    </row>
    <row r="106" spans="2:17" s="244" customFormat="1" x14ac:dyDescent="0.2">
      <c r="B106" s="310"/>
      <c r="C106" s="311"/>
      <c r="D106" s="318"/>
      <c r="E106" s="311"/>
      <c r="F106" s="311"/>
      <c r="G106" s="311" t="s">
        <v>32</v>
      </c>
      <c r="H106" s="311"/>
      <c r="I106" s="311"/>
      <c r="J106" s="331">
        <f>J87</f>
        <v>100080</v>
      </c>
      <c r="K106" s="323"/>
      <c r="L106" s="311"/>
      <c r="M106" s="311"/>
      <c r="N106" s="311" t="s">
        <v>13</v>
      </c>
      <c r="O106" s="311"/>
      <c r="P106" s="316">
        <f>P104+P105</f>
        <v>94560</v>
      </c>
      <c r="Q106" s="313"/>
    </row>
    <row r="107" spans="2:17" s="244" customFormat="1" x14ac:dyDescent="0.2">
      <c r="B107" s="310"/>
      <c r="C107" s="311"/>
      <c r="D107" s="318"/>
      <c r="E107" s="311"/>
      <c r="F107" s="311"/>
      <c r="G107" s="311"/>
      <c r="H107" s="311" t="s">
        <v>13</v>
      </c>
      <c r="I107" s="311"/>
      <c r="J107" s="315">
        <f>J104+J105+J106</f>
        <v>173700</v>
      </c>
      <c r="K107" s="315"/>
      <c r="L107" s="311" t="s">
        <v>26</v>
      </c>
      <c r="M107" s="311"/>
      <c r="N107" s="311"/>
      <c r="O107" s="311"/>
      <c r="P107" s="324">
        <f>P87-D100</f>
        <v>189264</v>
      </c>
      <c r="Q107" s="313"/>
    </row>
    <row r="108" spans="2:17" s="244" customFormat="1" x14ac:dyDescent="0.2">
      <c r="B108" s="310"/>
      <c r="C108" s="311"/>
      <c r="D108" s="318"/>
      <c r="E108" s="311"/>
      <c r="F108" s="311" t="s">
        <v>25</v>
      </c>
      <c r="G108" s="311"/>
      <c r="H108" s="311"/>
      <c r="I108" s="311"/>
      <c r="J108" s="327"/>
      <c r="K108" s="327"/>
      <c r="L108" s="311"/>
      <c r="M108" s="311"/>
      <c r="N108" s="311"/>
      <c r="O108" s="311"/>
      <c r="P108" s="328"/>
      <c r="Q108" s="313"/>
    </row>
    <row r="109" spans="2:17" s="244" customFormat="1" x14ac:dyDescent="0.2">
      <c r="B109" s="310"/>
      <c r="C109" s="311"/>
      <c r="D109" s="318"/>
      <c r="E109" s="311"/>
      <c r="F109" s="311"/>
      <c r="G109" s="311" t="s">
        <v>61</v>
      </c>
      <c r="H109" s="311"/>
      <c r="I109" s="311"/>
      <c r="J109" s="329"/>
      <c r="K109" s="329"/>
      <c r="L109" s="311" t="s">
        <v>38</v>
      </c>
      <c r="M109" s="311"/>
      <c r="N109" s="311"/>
      <c r="O109" s="311"/>
      <c r="P109" s="330"/>
      <c r="Q109" s="313"/>
    </row>
    <row r="110" spans="2:17" s="244" customFormat="1" x14ac:dyDescent="0.2">
      <c r="B110" s="310"/>
      <c r="C110" s="311"/>
      <c r="D110" s="318"/>
      <c r="E110" s="311"/>
      <c r="F110" s="311"/>
      <c r="G110" s="311" t="s">
        <v>62</v>
      </c>
      <c r="H110" s="311"/>
      <c r="I110" s="311"/>
      <c r="J110" s="331">
        <f>J91</f>
        <v>475800</v>
      </c>
      <c r="K110" s="323"/>
      <c r="L110" s="311"/>
      <c r="M110" s="311" t="s">
        <v>63</v>
      </c>
      <c r="N110" s="311"/>
      <c r="O110" s="311"/>
      <c r="P110" s="330"/>
      <c r="Q110" s="313"/>
    </row>
    <row r="111" spans="2:17" s="244" customFormat="1" x14ac:dyDescent="0.2">
      <c r="B111" s="310"/>
      <c r="C111" s="311"/>
      <c r="D111" s="318"/>
      <c r="E111" s="311"/>
      <c r="F111" s="311"/>
      <c r="G111" s="311"/>
      <c r="H111" s="311"/>
      <c r="I111" s="311"/>
      <c r="J111" s="323"/>
      <c r="K111" s="329"/>
      <c r="L111" s="311"/>
      <c r="M111" s="311" t="s">
        <v>64</v>
      </c>
      <c r="N111" s="311"/>
      <c r="O111" s="311"/>
      <c r="P111" s="316">
        <f>P91</f>
        <v>130000</v>
      </c>
      <c r="Q111" s="313"/>
    </row>
    <row r="112" spans="2:17" s="244" customFormat="1" x14ac:dyDescent="0.2">
      <c r="B112" s="310"/>
      <c r="C112" s="311"/>
      <c r="D112" s="318"/>
      <c r="E112" s="311"/>
      <c r="F112" s="311"/>
      <c r="G112" s="311"/>
      <c r="H112" s="311"/>
      <c r="I112" s="311"/>
      <c r="J112" s="323"/>
      <c r="K112" s="329"/>
      <c r="L112" s="311"/>
      <c r="M112" s="311" t="s">
        <v>37</v>
      </c>
      <c r="N112" s="311"/>
      <c r="O112" s="311"/>
      <c r="P112" s="331">
        <f>P92-D101</f>
        <v>235676</v>
      </c>
      <c r="Q112" s="313"/>
    </row>
    <row r="113" spans="2:17" s="244" customFormat="1" x14ac:dyDescent="0.2">
      <c r="B113" s="310"/>
      <c r="C113" s="311"/>
      <c r="D113" s="318"/>
      <c r="E113" s="311"/>
      <c r="F113" s="311"/>
      <c r="G113" s="311"/>
      <c r="H113" s="311"/>
      <c r="I113" s="311"/>
      <c r="J113" s="327"/>
      <c r="K113" s="327"/>
      <c r="L113" s="311"/>
      <c r="M113" s="311"/>
      <c r="N113" s="311" t="s">
        <v>13</v>
      </c>
      <c r="O113" s="311"/>
      <c r="P113" s="332">
        <f>P111+P112</f>
        <v>365676</v>
      </c>
      <c r="Q113" s="313"/>
    </row>
    <row r="114" spans="2:17" s="244" customFormat="1" x14ac:dyDescent="0.2">
      <c r="B114" s="310"/>
      <c r="C114" s="311"/>
      <c r="D114" s="318"/>
      <c r="E114" s="311"/>
      <c r="F114" s="311"/>
      <c r="G114" s="311"/>
      <c r="H114" s="311"/>
      <c r="I114" s="311"/>
      <c r="J114" s="327"/>
      <c r="K114" s="327"/>
      <c r="L114" s="311" t="s">
        <v>39</v>
      </c>
      <c r="M114" s="311"/>
      <c r="N114" s="311"/>
      <c r="O114" s="311"/>
      <c r="P114" s="311"/>
      <c r="Q114" s="313"/>
    </row>
    <row r="115" spans="2:17" s="244" customFormat="1" ht="15.75" thickBot="1" x14ac:dyDescent="0.25">
      <c r="B115" s="310"/>
      <c r="C115" s="311"/>
      <c r="D115" s="318"/>
      <c r="E115" s="311"/>
      <c r="F115" s="311" t="s">
        <v>40</v>
      </c>
      <c r="G115" s="311"/>
      <c r="H115" s="311"/>
      <c r="I115" s="311"/>
      <c r="J115" s="333">
        <f>J107+J110</f>
        <v>649500</v>
      </c>
      <c r="K115" s="315"/>
      <c r="L115" s="311" t="s">
        <v>65</v>
      </c>
      <c r="M115" s="311"/>
      <c r="N115" s="311"/>
      <c r="O115" s="311"/>
      <c r="P115" s="333">
        <f>P106+P107+P113</f>
        <v>649500</v>
      </c>
      <c r="Q115" s="313"/>
    </row>
    <row r="116" spans="2:17" s="244" customFormat="1" ht="15.75" thickTop="1" x14ac:dyDescent="0.2">
      <c r="B116" s="310"/>
      <c r="C116" s="311"/>
      <c r="D116" s="318"/>
      <c r="E116" s="311"/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3"/>
    </row>
    <row r="117" spans="2:17" s="244" customFormat="1" ht="15.75" thickBot="1" x14ac:dyDescent="0.25">
      <c r="B117" s="334"/>
      <c r="C117" s="335"/>
      <c r="D117" s="335"/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  <c r="Q117" s="336"/>
    </row>
    <row r="118" spans="2:17" s="244" customFormat="1" ht="16.5" customHeight="1" x14ac:dyDescent="0.2"/>
  </sheetData>
  <pageMargins left="0.75" right="0.75" top="1" bottom="1" header="0.5" footer="0.5"/>
  <pageSetup scale="61"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1"/>
  <dimension ref="B1:H46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5703125" customWidth="1"/>
    <col min="4" max="4" width="18.42578125" style="2" customWidth="1"/>
    <col min="5" max="5" width="3" customWidth="1"/>
    <col min="6" max="6" width="10.85546875" customWidth="1"/>
    <col min="7" max="7" width="21.140625" customWidth="1"/>
    <col min="8" max="8" width="3.140625" customWidth="1"/>
  </cols>
  <sheetData>
    <row r="1" spans="2:8" ht="18" x14ac:dyDescent="0.25">
      <c r="C1" s="1" t="s">
        <v>98</v>
      </c>
    </row>
    <row r="2" spans="2:8" ht="15.75" customHeight="1" x14ac:dyDescent="0.2">
      <c r="C2" s="2" t="s">
        <v>147</v>
      </c>
    </row>
    <row r="3" spans="2:8" ht="15.75" customHeight="1" x14ac:dyDescent="0.2"/>
    <row r="4" spans="2:8" ht="15.75" customHeight="1" x14ac:dyDescent="0.2">
      <c r="C4" s="3" t="s">
        <v>0</v>
      </c>
      <c r="E4" s="2"/>
    </row>
    <row r="5" spans="2:8" ht="15.75" customHeight="1" thickBot="1" x14ac:dyDescent="0.25">
      <c r="C5" s="4"/>
      <c r="D5" s="5"/>
      <c r="E5" s="2"/>
    </row>
    <row r="6" spans="2:8" ht="15.75" customHeight="1" x14ac:dyDescent="0.2">
      <c r="B6" s="6"/>
      <c r="C6" s="7"/>
      <c r="D6" s="8"/>
      <c r="E6" s="9"/>
    </row>
    <row r="7" spans="2:8" ht="15.75" customHeight="1" x14ac:dyDescent="0.2">
      <c r="B7" s="10"/>
      <c r="C7" s="11" t="s">
        <v>93</v>
      </c>
      <c r="D7" s="104">
        <v>0.11</v>
      </c>
      <c r="E7" s="12"/>
    </row>
    <row r="8" spans="2:8" ht="15.75" customHeight="1" x14ac:dyDescent="0.2">
      <c r="B8" s="10"/>
      <c r="C8" s="11" t="s">
        <v>217</v>
      </c>
      <c r="D8" s="107">
        <v>0.37</v>
      </c>
      <c r="E8" s="12"/>
    </row>
    <row r="9" spans="2:8" ht="15.75" customHeight="1" x14ac:dyDescent="0.2">
      <c r="B9" s="10"/>
      <c r="C9" s="11" t="s">
        <v>47</v>
      </c>
      <c r="D9" s="108">
        <v>4.2000000000000003E-2</v>
      </c>
      <c r="E9" s="12"/>
    </row>
    <row r="10" spans="2:8" ht="15.75" customHeight="1" x14ac:dyDescent="0.2">
      <c r="B10" s="10"/>
      <c r="C10" s="11" t="s">
        <v>68</v>
      </c>
      <c r="D10" s="105">
        <v>0.8</v>
      </c>
      <c r="E10" s="12"/>
    </row>
    <row r="11" spans="2:8" ht="15.75" customHeight="1" thickBot="1" x14ac:dyDescent="0.25">
      <c r="B11" s="13"/>
      <c r="C11" s="14"/>
      <c r="D11" s="14"/>
      <c r="E11" s="15"/>
    </row>
    <row r="12" spans="2:8" ht="15.75" customHeight="1" x14ac:dyDescent="0.2">
      <c r="C12" s="2"/>
      <c r="E12" s="2"/>
    </row>
    <row r="13" spans="2:8" ht="15.75" customHeight="1" x14ac:dyDescent="0.2">
      <c r="C13" s="3" t="s">
        <v>2</v>
      </c>
      <c r="E13" s="2"/>
    </row>
    <row r="14" spans="2:8" ht="15.75" customHeight="1" thickBot="1" x14ac:dyDescent="0.25">
      <c r="C14" s="4"/>
      <c r="E14" s="2"/>
    </row>
    <row r="15" spans="2:8" ht="15.75" customHeight="1" x14ac:dyDescent="0.2">
      <c r="B15" s="16"/>
      <c r="C15" s="17"/>
      <c r="D15" s="17"/>
      <c r="E15" s="17"/>
      <c r="F15" s="63"/>
      <c r="G15" s="63"/>
      <c r="H15" s="18"/>
    </row>
    <row r="16" spans="2:8" s="2" customFormat="1" ht="15.75" customHeight="1" x14ac:dyDescent="0.2">
      <c r="B16" s="25"/>
      <c r="C16" s="20" t="s">
        <v>80</v>
      </c>
      <c r="D16" s="67">
        <f>D9*(1/D10)*(1+D8)</f>
        <v>7.1925000000000017E-2</v>
      </c>
      <c r="E16" s="20"/>
      <c r="F16" s="20"/>
      <c r="G16" s="20"/>
      <c r="H16" s="28"/>
    </row>
    <row r="17" spans="2:8" s="2" customFormat="1" ht="15.75" customHeight="1" x14ac:dyDescent="0.2">
      <c r="B17" s="25"/>
      <c r="C17" s="20"/>
      <c r="D17" s="20"/>
      <c r="E17" s="20"/>
      <c r="F17" s="20"/>
      <c r="G17" s="20"/>
      <c r="H17" s="28"/>
    </row>
    <row r="18" spans="2:8" s="2" customFormat="1" ht="15.75" customHeight="1" x14ac:dyDescent="0.2">
      <c r="B18" s="25"/>
      <c r="C18" s="58" t="s">
        <v>207</v>
      </c>
      <c r="D18" s="80">
        <f>D7/(D16+(D16*D7))</f>
        <v>1.3778115967896989</v>
      </c>
      <c r="E18" s="20"/>
      <c r="F18" s="20"/>
      <c r="G18" s="20"/>
      <c r="H18" s="28"/>
    </row>
    <row r="19" spans="2:8" s="2" customFormat="1" ht="15.75" customHeight="1" x14ac:dyDescent="0.2">
      <c r="B19" s="25"/>
      <c r="C19" s="20" t="s">
        <v>208</v>
      </c>
      <c r="D19" s="41">
        <f>1-D18</f>
        <v>-0.37781159678969889</v>
      </c>
      <c r="E19" s="24"/>
      <c r="F19" s="20"/>
      <c r="G19" s="20"/>
      <c r="H19" s="28"/>
    </row>
    <row r="20" spans="2:8" s="2" customFormat="1" ht="15.75" customHeight="1" x14ac:dyDescent="0.2">
      <c r="B20" s="25"/>
      <c r="C20" s="20"/>
      <c r="D20" s="38"/>
      <c r="E20" s="27"/>
      <c r="F20" s="20"/>
      <c r="G20" s="20"/>
      <c r="H20" s="28"/>
    </row>
    <row r="21" spans="2:8" s="2" customFormat="1" ht="15.75" customHeight="1" x14ac:dyDescent="0.2">
      <c r="B21" s="25"/>
      <c r="C21" s="20" t="s">
        <v>94</v>
      </c>
      <c r="D21" s="38"/>
      <c r="E21" s="408">
        <f>-D19</f>
        <v>0.37781159678969889</v>
      </c>
      <c r="F21" s="408"/>
      <c r="G21" s="20" t="s">
        <v>78</v>
      </c>
      <c r="H21" s="28"/>
    </row>
    <row r="22" spans="2:8" s="2" customFormat="1" ht="15.75" customHeight="1" x14ac:dyDescent="0.2">
      <c r="B22" s="25"/>
      <c r="C22" s="20" t="s">
        <v>222</v>
      </c>
      <c r="D22" s="38"/>
      <c r="E22" s="27"/>
      <c r="F22" s="20"/>
      <c r="G22" s="20"/>
      <c r="H22" s="28"/>
    </row>
    <row r="23" spans="2:8" s="2" customFormat="1" ht="15.75" customHeight="1" x14ac:dyDescent="0.2">
      <c r="B23" s="25"/>
      <c r="C23" s="20" t="s">
        <v>79</v>
      </c>
      <c r="D23" s="38"/>
      <c r="E23" s="27"/>
      <c r="F23" s="20"/>
      <c r="G23" s="20"/>
      <c r="H23" s="28"/>
    </row>
    <row r="24" spans="2:8" s="2" customFormat="1" ht="15.75" customHeight="1" x14ac:dyDescent="0.2">
      <c r="B24" s="25"/>
      <c r="C24" s="20"/>
      <c r="D24" s="38"/>
      <c r="E24" s="27"/>
      <c r="F24" s="20"/>
      <c r="G24" s="20"/>
      <c r="H24" s="28"/>
    </row>
    <row r="25" spans="2:8" s="2" customFormat="1" ht="15.75" customHeight="1" x14ac:dyDescent="0.25">
      <c r="B25" s="25"/>
      <c r="C25" s="20" t="s">
        <v>95</v>
      </c>
      <c r="D25" s="57">
        <f>D16/(1-D16)</f>
        <v>7.7499124531961339E-2</v>
      </c>
      <c r="E25" s="27"/>
      <c r="F25" s="37"/>
      <c r="G25" s="20"/>
      <c r="H25" s="28"/>
    </row>
    <row r="26" spans="2:8" s="2" customFormat="1" ht="15.75" customHeight="1" thickBot="1" x14ac:dyDescent="0.25">
      <c r="B26" s="84"/>
      <c r="C26" s="33"/>
      <c r="D26" s="87"/>
      <c r="E26" s="88"/>
      <c r="F26" s="33"/>
      <c r="G26" s="33"/>
      <c r="H26" s="85"/>
    </row>
    <row r="27" spans="2:8" s="2" customFormat="1" ht="15.75" customHeight="1" x14ac:dyDescent="0.2"/>
    <row r="28" spans="2:8" s="2" customFormat="1" ht="15.75" customHeight="1" x14ac:dyDescent="0.2"/>
    <row r="29" spans="2:8" s="2" customFormat="1" ht="15.75" customHeight="1" x14ac:dyDescent="0.2"/>
    <row r="30" spans="2:8" s="2" customFormat="1" ht="15.75" customHeight="1" x14ac:dyDescent="0.2"/>
    <row r="31" spans="2:8" s="2" customFormat="1" ht="15.75" customHeight="1" x14ac:dyDescent="0.2"/>
    <row r="32" spans="2:8" s="2" customFormat="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1">
    <mergeCell ref="E21:F21"/>
  </mergeCells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11"/>
  <dimension ref="B1:I26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5703125" customWidth="1"/>
    <col min="4" max="4" width="9.140625" style="2"/>
    <col min="7" max="7" width="12.28515625" customWidth="1"/>
    <col min="8" max="8" width="11.85546875" customWidth="1"/>
    <col min="9" max="9" width="3.140625" customWidth="1"/>
  </cols>
  <sheetData>
    <row r="1" spans="2:9" ht="18" x14ac:dyDescent="0.25">
      <c r="C1" s="1" t="s">
        <v>98</v>
      </c>
    </row>
    <row r="2" spans="2:9" x14ac:dyDescent="0.2">
      <c r="C2" s="2" t="s">
        <v>148</v>
      </c>
    </row>
    <row r="3" spans="2:9" x14ac:dyDescent="0.2">
      <c r="C3" s="2"/>
      <c r="E3" s="2"/>
    </row>
    <row r="4" spans="2:9" x14ac:dyDescent="0.2">
      <c r="C4" s="3" t="s">
        <v>2</v>
      </c>
      <c r="E4" s="2"/>
    </row>
    <row r="5" spans="2:9" ht="15.75" thickBot="1" x14ac:dyDescent="0.25">
      <c r="C5" s="4"/>
      <c r="E5" s="2"/>
    </row>
    <row r="6" spans="2:9" x14ac:dyDescent="0.2">
      <c r="B6" s="16"/>
      <c r="C6" s="17"/>
      <c r="D6" s="17"/>
      <c r="E6" s="17"/>
      <c r="F6" s="63"/>
      <c r="G6" s="63"/>
      <c r="H6" s="63"/>
      <c r="I6" s="18"/>
    </row>
    <row r="7" spans="2:9" s="2" customFormat="1" x14ac:dyDescent="0.2">
      <c r="B7" s="25"/>
      <c r="C7" s="20" t="s">
        <v>69</v>
      </c>
      <c r="D7" s="52"/>
      <c r="E7" s="20"/>
      <c r="F7" s="20"/>
      <c r="G7" s="20"/>
      <c r="H7" s="20"/>
      <c r="I7" s="28"/>
    </row>
    <row r="8" spans="2:9" s="2" customFormat="1" x14ac:dyDescent="0.2">
      <c r="B8" s="25"/>
      <c r="C8" s="20" t="s">
        <v>223</v>
      </c>
      <c r="D8" s="20"/>
      <c r="E8" s="20"/>
      <c r="F8" s="20"/>
      <c r="G8" s="20"/>
      <c r="H8" s="20"/>
      <c r="I8" s="28"/>
    </row>
    <row r="9" spans="2:9" s="2" customFormat="1" x14ac:dyDescent="0.2">
      <c r="B9" s="25"/>
      <c r="C9" s="58" t="s">
        <v>224</v>
      </c>
      <c r="D9" s="20"/>
      <c r="E9" s="20"/>
      <c r="F9" s="80"/>
      <c r="G9" s="20"/>
      <c r="H9" s="20"/>
      <c r="I9" s="28"/>
    </row>
    <row r="10" spans="2:9" s="2" customFormat="1" x14ac:dyDescent="0.2">
      <c r="B10" s="25"/>
      <c r="C10" s="20" t="s">
        <v>70</v>
      </c>
      <c r="D10" s="41"/>
      <c r="E10" s="24"/>
      <c r="F10" s="20"/>
      <c r="G10" s="20"/>
      <c r="H10" s="20"/>
      <c r="I10" s="28"/>
    </row>
    <row r="11" spans="2:9" s="2" customFormat="1" x14ac:dyDescent="0.2">
      <c r="B11" s="25"/>
      <c r="C11" s="20"/>
      <c r="D11" s="38"/>
      <c r="E11" s="27"/>
      <c r="F11" s="20"/>
      <c r="G11" s="20"/>
      <c r="H11" s="20"/>
      <c r="I11" s="28"/>
    </row>
    <row r="12" spans="2:9" s="2" customFormat="1" x14ac:dyDescent="0.2">
      <c r="B12" s="25"/>
      <c r="C12" s="20" t="s">
        <v>225</v>
      </c>
      <c r="D12" s="38"/>
      <c r="E12" s="27"/>
      <c r="F12" s="20"/>
      <c r="G12" s="20"/>
      <c r="H12" s="20"/>
      <c r="I12" s="28"/>
    </row>
    <row r="13" spans="2:9" s="2" customFormat="1" x14ac:dyDescent="0.2">
      <c r="B13" s="25"/>
      <c r="C13" s="20" t="s">
        <v>226</v>
      </c>
      <c r="D13" s="38"/>
      <c r="E13" s="27"/>
      <c r="F13" s="20"/>
      <c r="G13" s="20"/>
      <c r="H13" s="20"/>
      <c r="I13" s="28"/>
    </row>
    <row r="14" spans="2:9" s="2" customFormat="1" x14ac:dyDescent="0.2">
      <c r="B14" s="25"/>
      <c r="C14" s="20" t="s">
        <v>227</v>
      </c>
      <c r="D14" s="38"/>
      <c r="E14" s="27"/>
      <c r="F14" s="20"/>
      <c r="G14" s="20"/>
      <c r="H14" s="20"/>
      <c r="I14" s="28"/>
    </row>
    <row r="15" spans="2:9" s="2" customFormat="1" ht="15.75" thickBot="1" x14ac:dyDescent="0.25">
      <c r="B15" s="84"/>
      <c r="C15" s="33"/>
      <c r="D15" s="87"/>
      <c r="E15" s="88"/>
      <c r="F15" s="33"/>
      <c r="G15" s="33"/>
      <c r="H15" s="33"/>
      <c r="I15" s="85"/>
    </row>
    <row r="16" spans="2:9" s="2" customFormat="1" ht="15.75" thickBot="1" x14ac:dyDescent="0.25"/>
    <row r="17" spans="2:9" s="2" customFormat="1" x14ac:dyDescent="0.2">
      <c r="B17" s="86"/>
      <c r="C17" s="17"/>
      <c r="D17" s="17"/>
      <c r="E17" s="17"/>
      <c r="F17" s="17"/>
      <c r="G17" s="17"/>
      <c r="H17" s="17"/>
      <c r="I17" s="65"/>
    </row>
    <row r="18" spans="2:9" s="2" customFormat="1" x14ac:dyDescent="0.2">
      <c r="B18" s="25"/>
      <c r="C18" s="20" t="s">
        <v>71</v>
      </c>
      <c r="D18" s="20"/>
      <c r="E18" s="20"/>
      <c r="F18" s="20"/>
      <c r="G18" s="20"/>
      <c r="H18" s="20"/>
      <c r="I18" s="28"/>
    </row>
    <row r="19" spans="2:9" s="2" customFormat="1" x14ac:dyDescent="0.2">
      <c r="B19" s="25"/>
      <c r="C19" s="20"/>
      <c r="D19" s="20"/>
      <c r="E19" s="20"/>
      <c r="F19" s="20"/>
      <c r="G19" s="20"/>
      <c r="H19" s="20"/>
      <c r="I19" s="28"/>
    </row>
    <row r="20" spans="2:9" s="2" customFormat="1" x14ac:dyDescent="0.2">
      <c r="B20" s="25"/>
      <c r="C20" s="20" t="s">
        <v>228</v>
      </c>
      <c r="D20" s="20"/>
      <c r="E20" s="20"/>
      <c r="F20" s="20"/>
      <c r="G20" s="20"/>
      <c r="H20" s="20"/>
      <c r="I20" s="28"/>
    </row>
    <row r="21" spans="2:9" s="2" customFormat="1" x14ac:dyDescent="0.2">
      <c r="B21" s="25"/>
      <c r="C21" s="20" t="s">
        <v>230</v>
      </c>
      <c r="D21" s="20"/>
      <c r="E21" s="20"/>
      <c r="F21" s="20"/>
      <c r="G21" s="20"/>
      <c r="H21" s="20"/>
      <c r="I21" s="28"/>
    </row>
    <row r="22" spans="2:9" s="2" customFormat="1" x14ac:dyDescent="0.2">
      <c r="B22" s="25"/>
      <c r="C22" s="20" t="s">
        <v>231</v>
      </c>
      <c r="D22" s="20"/>
      <c r="E22" s="20"/>
      <c r="F22" s="20"/>
      <c r="G22" s="20"/>
      <c r="H22" s="20"/>
      <c r="I22" s="28"/>
    </row>
    <row r="23" spans="2:9" s="2" customFormat="1" x14ac:dyDescent="0.2">
      <c r="B23" s="25"/>
      <c r="C23" s="20" t="s">
        <v>232</v>
      </c>
      <c r="D23" s="20"/>
      <c r="E23" s="20"/>
      <c r="F23" s="20"/>
      <c r="G23" s="20"/>
      <c r="H23" s="20"/>
      <c r="I23" s="28"/>
    </row>
    <row r="24" spans="2:9" s="2" customFormat="1" x14ac:dyDescent="0.2">
      <c r="B24" s="25"/>
      <c r="C24" s="20" t="s">
        <v>229</v>
      </c>
      <c r="D24" s="20"/>
      <c r="E24" s="20"/>
      <c r="F24" s="20"/>
      <c r="G24" s="20"/>
      <c r="H24" s="20"/>
      <c r="I24" s="28"/>
    </row>
    <row r="25" spans="2:9" s="2" customFormat="1" ht="15.75" thickBot="1" x14ac:dyDescent="0.25">
      <c r="B25" s="84"/>
      <c r="C25" s="33"/>
      <c r="D25" s="33"/>
      <c r="E25" s="33"/>
      <c r="F25" s="33"/>
      <c r="G25" s="33"/>
      <c r="H25" s="33"/>
      <c r="I25" s="85"/>
    </row>
    <row r="26" spans="2:9" s="2" customFormat="1" x14ac:dyDescent="0.2"/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3"/>
  <dimension ref="B1:F3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7109375" bestFit="1" customWidth="1"/>
    <col min="4" max="4" width="14.28515625" style="2" bestFit="1" customWidth="1"/>
    <col min="5" max="5" width="3" customWidth="1"/>
    <col min="6" max="6" width="9.140625" style="2" customWidth="1"/>
    <col min="7" max="7" width="9.140625" customWidth="1"/>
  </cols>
  <sheetData>
    <row r="1" spans="2:6" ht="18" x14ac:dyDescent="0.25">
      <c r="C1" s="1" t="s">
        <v>98</v>
      </c>
    </row>
    <row r="2" spans="2:6" x14ac:dyDescent="0.2">
      <c r="C2" s="2" t="s">
        <v>92</v>
      </c>
    </row>
    <row r="4" spans="2:6" x14ac:dyDescent="0.2">
      <c r="C4" s="3" t="s">
        <v>0</v>
      </c>
      <c r="E4" s="2"/>
    </row>
    <row r="5" spans="2:6" ht="15.75" thickBot="1" x14ac:dyDescent="0.25">
      <c r="C5" s="4"/>
      <c r="D5" s="5"/>
      <c r="E5" s="2"/>
    </row>
    <row r="6" spans="2:6" x14ac:dyDescent="0.2">
      <c r="B6" s="6"/>
      <c r="C6" s="7"/>
      <c r="D6" s="8"/>
      <c r="E6" s="9"/>
    </row>
    <row r="7" spans="2:6" x14ac:dyDescent="0.2">
      <c r="B7" s="10"/>
      <c r="C7" s="11" t="s">
        <v>82</v>
      </c>
      <c r="D7" s="109">
        <v>430000</v>
      </c>
      <c r="E7" s="12"/>
    </row>
    <row r="8" spans="2:6" x14ac:dyDescent="0.2">
      <c r="B8" s="10"/>
      <c r="C8" s="11" t="s">
        <v>85</v>
      </c>
      <c r="D8" s="110">
        <v>260000</v>
      </c>
      <c r="E8" s="12"/>
    </row>
    <row r="9" spans="2:6" x14ac:dyDescent="0.2">
      <c r="B9" s="10"/>
      <c r="C9" s="11" t="s">
        <v>83</v>
      </c>
      <c r="D9" s="110">
        <v>470000</v>
      </c>
      <c r="E9" s="12"/>
    </row>
    <row r="10" spans="2:6" x14ac:dyDescent="0.2">
      <c r="B10" s="10"/>
      <c r="C10" s="11" t="s">
        <v>10</v>
      </c>
      <c r="D10" s="110">
        <v>80000</v>
      </c>
      <c r="E10" s="12"/>
    </row>
    <row r="11" spans="2:6" x14ac:dyDescent="0.2">
      <c r="B11" s="10"/>
      <c r="C11" s="11" t="s">
        <v>14</v>
      </c>
      <c r="D11" s="110">
        <v>44000</v>
      </c>
      <c r="E11" s="12"/>
    </row>
    <row r="12" spans="2:6" ht="15.75" thickBot="1" x14ac:dyDescent="0.25">
      <c r="B12" s="13"/>
      <c r="C12" s="14"/>
      <c r="D12" s="14"/>
      <c r="E12" s="15"/>
    </row>
    <row r="13" spans="2:6" x14ac:dyDescent="0.2">
      <c r="C13" s="2"/>
      <c r="E13" s="2"/>
    </row>
    <row r="14" spans="2:6" x14ac:dyDescent="0.2">
      <c r="C14" s="3" t="s">
        <v>2</v>
      </c>
      <c r="E14" s="2"/>
    </row>
    <row r="15" spans="2:6" ht="15.75" thickBot="1" x14ac:dyDescent="0.25">
      <c r="C15" s="4"/>
      <c r="E15" s="2"/>
    </row>
    <row r="16" spans="2:6" x14ac:dyDescent="0.2">
      <c r="B16" s="16"/>
      <c r="C16" s="17"/>
      <c r="D16" s="17"/>
      <c r="E16" s="18"/>
      <c r="F16"/>
    </row>
    <row r="17" spans="2:6" x14ac:dyDescent="0.2">
      <c r="B17" s="19"/>
      <c r="C17" s="20" t="s">
        <v>37</v>
      </c>
      <c r="D17" s="218">
        <f>D10-D11</f>
        <v>36000</v>
      </c>
      <c r="E17" s="23"/>
      <c r="F17"/>
    </row>
    <row r="18" spans="2:6" x14ac:dyDescent="0.2">
      <c r="B18" s="19"/>
      <c r="C18" s="20" t="s">
        <v>84</v>
      </c>
      <c r="D18" s="112">
        <f>D8+D17</f>
        <v>296000</v>
      </c>
      <c r="E18" s="23"/>
      <c r="F18"/>
    </row>
    <row r="19" spans="2:6" x14ac:dyDescent="0.2">
      <c r="B19" s="19"/>
      <c r="C19" s="20" t="s">
        <v>89</v>
      </c>
      <c r="D19" s="67">
        <f>(D10-D11)/D10</f>
        <v>0.45</v>
      </c>
      <c r="E19" s="23"/>
      <c r="F19"/>
    </row>
    <row r="20" spans="2:6" x14ac:dyDescent="0.2">
      <c r="B20" s="19"/>
      <c r="C20" s="20"/>
      <c r="D20" s="20"/>
      <c r="E20" s="23"/>
      <c r="F20"/>
    </row>
    <row r="21" spans="2:6" x14ac:dyDescent="0.2">
      <c r="B21" s="19"/>
      <c r="C21" s="20" t="s">
        <v>87</v>
      </c>
      <c r="D21" s="67">
        <f>D10/D8</f>
        <v>0.30769230769230771</v>
      </c>
      <c r="E21" s="23"/>
      <c r="F21"/>
    </row>
    <row r="22" spans="2:6" s="2" customFormat="1" x14ac:dyDescent="0.2">
      <c r="B22" s="25"/>
      <c r="C22" s="58" t="s">
        <v>86</v>
      </c>
      <c r="D22" s="67">
        <f>D10/D18</f>
        <v>0.27027027027027029</v>
      </c>
      <c r="E22" s="28"/>
    </row>
    <row r="23" spans="2:6" x14ac:dyDescent="0.2">
      <c r="B23" s="19"/>
      <c r="C23" s="20"/>
      <c r="D23" s="47"/>
      <c r="E23" s="23"/>
      <c r="F23"/>
    </row>
    <row r="24" spans="2:6" s="2" customFormat="1" ht="15.75" x14ac:dyDescent="0.25">
      <c r="B24" s="25"/>
      <c r="C24" s="20" t="s">
        <v>88</v>
      </c>
      <c r="D24" s="57">
        <f>(D22*D19)/(1-D22*D19)</f>
        <v>0.13846153846153847</v>
      </c>
      <c r="E24" s="28"/>
    </row>
    <row r="25" spans="2:6" s="2" customFormat="1" ht="15.75" x14ac:dyDescent="0.25">
      <c r="B25" s="25"/>
      <c r="C25" s="20"/>
      <c r="D25" s="75"/>
      <c r="E25" s="28"/>
    </row>
    <row r="26" spans="2:6" ht="15.75" x14ac:dyDescent="0.25">
      <c r="B26" s="19"/>
      <c r="C26" s="20" t="s">
        <v>90</v>
      </c>
      <c r="D26" s="57">
        <f>D21*D19</f>
        <v>0.13846153846153847</v>
      </c>
      <c r="E26" s="23"/>
      <c r="F26"/>
    </row>
    <row r="27" spans="2:6" x14ac:dyDescent="0.2">
      <c r="B27" s="19"/>
      <c r="C27" s="20" t="s">
        <v>91</v>
      </c>
      <c r="D27" s="47"/>
      <c r="E27" s="23"/>
      <c r="F27"/>
    </row>
    <row r="28" spans="2:6" x14ac:dyDescent="0.2">
      <c r="B28" s="19"/>
      <c r="C28" s="20"/>
      <c r="D28" s="47"/>
      <c r="E28" s="23"/>
      <c r="F28"/>
    </row>
    <row r="29" spans="2:6" s="2" customFormat="1" ht="15.75" x14ac:dyDescent="0.25">
      <c r="B29" s="25"/>
      <c r="C29" s="20" t="s">
        <v>97</v>
      </c>
      <c r="D29" s="57">
        <f>D22*D19</f>
        <v>0.12162162162162163</v>
      </c>
      <c r="E29" s="28"/>
    </row>
    <row r="30" spans="2:6" ht="15.75" x14ac:dyDescent="0.25">
      <c r="B30" s="19"/>
      <c r="C30" s="20" t="s">
        <v>91</v>
      </c>
      <c r="D30" s="78"/>
      <c r="E30" s="23"/>
      <c r="F30"/>
    </row>
    <row r="31" spans="2:6" ht="15.75" thickBot="1" x14ac:dyDescent="0.25">
      <c r="B31" s="30"/>
      <c r="C31" s="31"/>
      <c r="D31" s="33"/>
      <c r="E31" s="32"/>
      <c r="F31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2"/>
  <dimension ref="B1:I2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140625" customWidth="1"/>
    <col min="4" max="4" width="15.5703125" bestFit="1" customWidth="1"/>
    <col min="5" max="5" width="3.140625" customWidth="1"/>
    <col min="6" max="7" width="9.140625" customWidth="1"/>
    <col min="8" max="8" width="9.140625" style="2" customWidth="1"/>
    <col min="9" max="9" width="9.140625" style="2"/>
    <col min="10" max="10" width="9.140625" customWidth="1"/>
  </cols>
  <sheetData>
    <row r="1" spans="2:9" ht="18" x14ac:dyDescent="0.25">
      <c r="C1" s="1" t="s">
        <v>98</v>
      </c>
    </row>
    <row r="2" spans="2:9" x14ac:dyDescent="0.2">
      <c r="C2" s="2" t="s">
        <v>104</v>
      </c>
    </row>
    <row r="4" spans="2:9" x14ac:dyDescent="0.2">
      <c r="C4" s="3" t="s">
        <v>0</v>
      </c>
      <c r="D4" s="2"/>
      <c r="E4" s="2"/>
      <c r="F4" s="2"/>
      <c r="G4" s="2"/>
    </row>
    <row r="5" spans="2:9" ht="15.75" thickBot="1" x14ac:dyDescent="0.25">
      <c r="C5" s="4"/>
      <c r="D5" s="5"/>
      <c r="E5" s="2"/>
      <c r="F5" s="2"/>
      <c r="G5" s="2"/>
    </row>
    <row r="6" spans="2:9" x14ac:dyDescent="0.2">
      <c r="B6" s="6"/>
      <c r="C6" s="7"/>
      <c r="D6" s="8"/>
      <c r="E6" s="9"/>
      <c r="F6" s="114"/>
      <c r="G6" s="114"/>
      <c r="H6" s="45"/>
    </row>
    <row r="7" spans="2:9" x14ac:dyDescent="0.2">
      <c r="B7" s="10"/>
      <c r="C7" s="11" t="s">
        <v>55</v>
      </c>
      <c r="D7" s="120">
        <v>0.85</v>
      </c>
      <c r="E7" s="116"/>
      <c r="F7" s="117"/>
      <c r="G7" s="117"/>
      <c r="H7" s="45"/>
    </row>
    <row r="8" spans="2:9" x14ac:dyDescent="0.2">
      <c r="B8" s="10"/>
      <c r="C8" s="11" t="s">
        <v>43</v>
      </c>
      <c r="D8" s="121">
        <v>7.2999999999999995E-2</v>
      </c>
      <c r="E8" s="116"/>
      <c r="F8" s="117"/>
      <c r="G8" s="117"/>
      <c r="H8" s="45"/>
    </row>
    <row r="9" spans="2:9" x14ac:dyDescent="0.2">
      <c r="B9" s="10"/>
      <c r="C9" s="11" t="s">
        <v>101</v>
      </c>
      <c r="D9" s="122">
        <v>910000</v>
      </c>
      <c r="E9" s="116"/>
      <c r="F9" s="117"/>
      <c r="G9" s="117"/>
      <c r="H9" s="45"/>
    </row>
    <row r="10" spans="2:9" ht="15.75" thickBot="1" x14ac:dyDescent="0.25">
      <c r="B10" s="13"/>
      <c r="C10" s="14"/>
      <c r="D10" s="14"/>
      <c r="E10" s="15"/>
      <c r="F10" s="114"/>
      <c r="G10" s="114"/>
      <c r="H10" s="45"/>
    </row>
    <row r="11" spans="2:9" x14ac:dyDescent="0.2">
      <c r="C11" s="2"/>
      <c r="D11" s="2"/>
      <c r="E11" s="2"/>
      <c r="F11" s="2"/>
      <c r="G11" s="2"/>
    </row>
    <row r="12" spans="2:9" x14ac:dyDescent="0.2">
      <c r="C12" s="3" t="s">
        <v>2</v>
      </c>
      <c r="D12" s="2"/>
      <c r="E12" s="2"/>
      <c r="F12" s="2"/>
      <c r="G12" s="2"/>
    </row>
    <row r="13" spans="2:9" ht="15.75" thickBot="1" x14ac:dyDescent="0.25">
      <c r="C13" s="4"/>
      <c r="D13" s="2"/>
      <c r="E13" s="2"/>
      <c r="F13" s="2"/>
      <c r="G13" s="2"/>
    </row>
    <row r="14" spans="2:9" x14ac:dyDescent="0.2">
      <c r="B14" s="16"/>
      <c r="C14" s="17"/>
      <c r="D14" s="118"/>
      <c r="E14" s="123"/>
      <c r="H14"/>
      <c r="I14"/>
    </row>
    <row r="15" spans="2:9" ht="15.75" x14ac:dyDescent="0.25">
      <c r="B15" s="19"/>
      <c r="C15" s="58" t="s">
        <v>81</v>
      </c>
      <c r="D15" s="124">
        <f>1+D7</f>
        <v>1.85</v>
      </c>
      <c r="E15" s="125"/>
      <c r="H15"/>
      <c r="I15"/>
    </row>
    <row r="16" spans="2:9" x14ac:dyDescent="0.2">
      <c r="B16" s="19"/>
      <c r="C16" s="58"/>
      <c r="D16" s="126"/>
      <c r="E16" s="127"/>
      <c r="H16"/>
      <c r="I16"/>
    </row>
    <row r="17" spans="2:9" ht="15.75" x14ac:dyDescent="0.25">
      <c r="B17" s="19"/>
      <c r="C17" s="58" t="s">
        <v>80</v>
      </c>
      <c r="D17" s="57">
        <f>D8*D15</f>
        <v>0.13505</v>
      </c>
      <c r="E17" s="23"/>
      <c r="H17"/>
      <c r="I17"/>
    </row>
    <row r="18" spans="2:9" x14ac:dyDescent="0.2">
      <c r="B18" s="19"/>
      <c r="C18" s="58"/>
      <c r="D18" s="126"/>
      <c r="E18" s="127"/>
      <c r="H18"/>
      <c r="I18"/>
    </row>
    <row r="19" spans="2:9" ht="15.75" x14ac:dyDescent="0.25">
      <c r="B19" s="19"/>
      <c r="C19" s="58" t="s">
        <v>102</v>
      </c>
      <c r="D19" s="50">
        <f>D17*D9</f>
        <v>122895.5</v>
      </c>
      <c r="E19" s="28"/>
      <c r="H19"/>
      <c r="I19"/>
    </row>
    <row r="20" spans="2:9" ht="15.75" thickBot="1" x14ac:dyDescent="0.25">
      <c r="B20" s="30"/>
      <c r="C20" s="33"/>
      <c r="D20" s="119"/>
      <c r="E20" s="128"/>
      <c r="H20"/>
      <c r="I20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"/>
  <dimension ref="B1:H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8.140625" customWidth="1"/>
    <col min="4" max="4" width="15.7109375" customWidth="1"/>
    <col min="5" max="5" width="3.7109375" style="2" customWidth="1"/>
    <col min="6" max="6" width="9.140625" customWidth="1"/>
    <col min="7" max="7" width="9.140625" style="2" customWidth="1"/>
    <col min="8" max="8" width="9.140625" style="2"/>
    <col min="9" max="9" width="9.140625" customWidth="1"/>
  </cols>
  <sheetData>
    <row r="1" spans="2:8" ht="18" x14ac:dyDescent="0.25">
      <c r="C1" s="1" t="s">
        <v>98</v>
      </c>
    </row>
    <row r="2" spans="2:8" x14ac:dyDescent="0.2">
      <c r="C2" s="2" t="s">
        <v>18</v>
      </c>
    </row>
    <row r="4" spans="2:8" x14ac:dyDescent="0.2">
      <c r="C4" s="3" t="s">
        <v>0</v>
      </c>
      <c r="D4" s="2"/>
      <c r="F4" s="2"/>
    </row>
    <row r="5" spans="2:8" ht="15.75" thickBot="1" x14ac:dyDescent="0.25">
      <c r="C5" s="4"/>
      <c r="D5" s="2"/>
      <c r="F5" s="2"/>
    </row>
    <row r="6" spans="2:8" x14ac:dyDescent="0.2">
      <c r="B6" s="6"/>
      <c r="C6" s="7"/>
      <c r="D6" s="129"/>
      <c r="E6" s="130"/>
      <c r="F6" s="45"/>
      <c r="H6"/>
    </row>
    <row r="7" spans="2:8" x14ac:dyDescent="0.2">
      <c r="B7" s="10"/>
      <c r="C7" s="11" t="s">
        <v>4</v>
      </c>
      <c r="D7" s="122">
        <v>3300</v>
      </c>
      <c r="E7" s="131"/>
      <c r="F7" s="45"/>
      <c r="H7"/>
    </row>
    <row r="8" spans="2:8" x14ac:dyDescent="0.2">
      <c r="B8" s="10"/>
      <c r="C8" s="11" t="s">
        <v>40</v>
      </c>
      <c r="D8" s="132">
        <v>1520</v>
      </c>
      <c r="E8" s="131"/>
      <c r="F8" s="45"/>
      <c r="H8"/>
    </row>
    <row r="9" spans="2:8" x14ac:dyDescent="0.2">
      <c r="B9" s="10"/>
      <c r="C9" s="11" t="s">
        <v>48</v>
      </c>
      <c r="D9" s="115">
        <v>1.35</v>
      </c>
      <c r="E9" s="131"/>
      <c r="F9" s="45"/>
      <c r="H9"/>
    </row>
    <row r="10" spans="2:8" x14ac:dyDescent="0.2">
      <c r="B10" s="10"/>
      <c r="C10" s="11" t="s">
        <v>45</v>
      </c>
      <c r="D10" s="104">
        <v>0.14000000000000001</v>
      </c>
      <c r="E10" s="131"/>
      <c r="F10" s="45"/>
      <c r="H10"/>
    </row>
    <row r="11" spans="2:8" ht="15.75" thickBot="1" x14ac:dyDescent="0.25">
      <c r="B11" s="13"/>
      <c r="C11" s="14"/>
      <c r="D11" s="133"/>
      <c r="E11" s="134"/>
      <c r="F11" s="45"/>
      <c r="H11"/>
    </row>
    <row r="12" spans="2:8" x14ac:dyDescent="0.2">
      <c r="C12" s="2"/>
      <c r="D12" s="2"/>
      <c r="F12" s="2"/>
    </row>
    <row r="13" spans="2:8" x14ac:dyDescent="0.2">
      <c r="C13" s="3" t="s">
        <v>2</v>
      </c>
      <c r="D13" s="2"/>
      <c r="F13" s="2"/>
    </row>
    <row r="14" spans="2:8" ht="15.75" thickBot="1" x14ac:dyDescent="0.25">
      <c r="C14" s="4"/>
      <c r="D14" s="2"/>
      <c r="F14" s="2"/>
    </row>
    <row r="15" spans="2:8" x14ac:dyDescent="0.2">
      <c r="B15" s="16"/>
      <c r="C15" s="17"/>
      <c r="D15" s="118"/>
      <c r="E15" s="135"/>
      <c r="G15"/>
      <c r="H15"/>
    </row>
    <row r="16" spans="2:8" x14ac:dyDescent="0.2">
      <c r="B16" s="19"/>
      <c r="C16" s="58" t="s">
        <v>181</v>
      </c>
      <c r="D16" s="136">
        <f>D10/((D7/D8)*(1+D9))</f>
        <v>2.7440361057382335E-2</v>
      </c>
      <c r="E16" s="23"/>
      <c r="G16"/>
      <c r="H16"/>
    </row>
    <row r="17" spans="2:8" x14ac:dyDescent="0.2">
      <c r="B17" s="19"/>
      <c r="C17" s="58"/>
      <c r="D17" s="137"/>
      <c r="E17" s="138"/>
      <c r="G17"/>
      <c r="H17"/>
    </row>
    <row r="18" spans="2:8" ht="15.75" x14ac:dyDescent="0.25">
      <c r="B18" s="19"/>
      <c r="C18" s="58" t="s">
        <v>182</v>
      </c>
      <c r="D18" s="139">
        <f>D16*D7</f>
        <v>90.553191489361708</v>
      </c>
      <c r="E18" s="140"/>
      <c r="G18"/>
      <c r="H18"/>
    </row>
    <row r="19" spans="2:8" ht="15.75" thickBot="1" x14ac:dyDescent="0.25">
      <c r="B19" s="30"/>
      <c r="C19" s="33"/>
      <c r="D19" s="141"/>
      <c r="E19" s="142"/>
      <c r="G19"/>
      <c r="H1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B1:K34"/>
  <sheetViews>
    <sheetView zoomScaleNormal="100" workbookViewId="0">
      <selection activeCell="C2" sqref="C2"/>
    </sheetView>
  </sheetViews>
  <sheetFormatPr defaultRowHeight="15" x14ac:dyDescent="0.2"/>
  <cols>
    <col min="2" max="2" width="3.140625" customWidth="1"/>
    <col min="3" max="3" width="18.7109375" customWidth="1"/>
    <col min="4" max="4" width="14.7109375" style="2" customWidth="1"/>
    <col min="5" max="5" width="3" customWidth="1"/>
    <col min="6" max="6" width="14.28515625" bestFit="1" customWidth="1"/>
    <col min="7" max="7" width="9" customWidth="1"/>
    <col min="8" max="8" width="16.5703125" bestFit="1" customWidth="1"/>
    <col min="9" max="9" width="11.140625" customWidth="1"/>
    <col min="10" max="10" width="15.5703125" bestFit="1" customWidth="1"/>
    <col min="11" max="11" width="3.140625" customWidth="1"/>
  </cols>
  <sheetData>
    <row r="1" spans="2:11" ht="18" x14ac:dyDescent="0.25">
      <c r="C1" s="1" t="s">
        <v>98</v>
      </c>
    </row>
    <row r="2" spans="2:11" x14ac:dyDescent="0.2">
      <c r="C2" s="2" t="s">
        <v>19</v>
      </c>
    </row>
    <row r="4" spans="2:11" x14ac:dyDescent="0.2">
      <c r="C4" s="3" t="s">
        <v>0</v>
      </c>
      <c r="E4" s="2"/>
      <c r="F4" s="2"/>
      <c r="G4" s="2"/>
      <c r="H4" s="2"/>
      <c r="I4" s="2"/>
      <c r="J4" s="2"/>
    </row>
    <row r="5" spans="2:11" ht="15.75" thickBot="1" x14ac:dyDescent="0.25">
      <c r="C5" s="4"/>
      <c r="D5" s="5"/>
      <c r="E5" s="2"/>
      <c r="F5" s="2"/>
      <c r="G5" s="2"/>
      <c r="H5" s="2"/>
      <c r="I5" s="2"/>
      <c r="J5" s="2"/>
    </row>
    <row r="6" spans="2:11" x14ac:dyDescent="0.2">
      <c r="B6" s="6"/>
      <c r="C6" s="7"/>
      <c r="D6" s="8"/>
      <c r="E6" s="8"/>
      <c r="F6" s="341"/>
      <c r="G6" s="341"/>
      <c r="H6" s="341"/>
      <c r="I6" s="341"/>
      <c r="J6" s="341"/>
      <c r="K6" s="342"/>
    </row>
    <row r="7" spans="2:11" x14ac:dyDescent="0.2">
      <c r="B7" s="10"/>
      <c r="C7" s="11" t="s">
        <v>4</v>
      </c>
      <c r="D7" s="109">
        <v>37600</v>
      </c>
      <c r="E7" s="11"/>
      <c r="F7" s="337"/>
      <c r="G7" s="337" t="s">
        <v>6</v>
      </c>
      <c r="H7" s="259">
        <v>135000</v>
      </c>
      <c r="I7" s="337" t="s">
        <v>7</v>
      </c>
      <c r="J7" s="259">
        <v>37000</v>
      </c>
      <c r="K7" s="343"/>
    </row>
    <row r="8" spans="2:11" x14ac:dyDescent="0.2">
      <c r="B8" s="10"/>
      <c r="C8" s="11" t="s">
        <v>5</v>
      </c>
      <c r="D8" s="215">
        <v>26100</v>
      </c>
      <c r="E8" s="11"/>
      <c r="F8" s="337"/>
      <c r="G8" s="337"/>
      <c r="H8" s="340"/>
      <c r="I8" s="337" t="s">
        <v>8</v>
      </c>
      <c r="J8" s="346">
        <f>H7-J7</f>
        <v>98000</v>
      </c>
      <c r="K8" s="343"/>
    </row>
    <row r="9" spans="2:11" ht="15.75" thickBot="1" x14ac:dyDescent="0.25">
      <c r="B9" s="10"/>
      <c r="C9" s="11" t="s">
        <v>22</v>
      </c>
      <c r="D9" s="214">
        <f>D7-D8</f>
        <v>11500</v>
      </c>
      <c r="E9" s="11"/>
      <c r="F9" s="337"/>
      <c r="G9" s="337" t="s">
        <v>13</v>
      </c>
      <c r="H9" s="347">
        <f>H7</f>
        <v>135000</v>
      </c>
      <c r="I9" s="337" t="s">
        <v>13</v>
      </c>
      <c r="J9" s="347">
        <f>H9</f>
        <v>135000</v>
      </c>
      <c r="K9" s="343"/>
    </row>
    <row r="10" spans="2:11" ht="15.75" thickTop="1" x14ac:dyDescent="0.2">
      <c r="B10" s="10"/>
      <c r="C10" s="11" t="str">
        <f>"Taxes ("&amp;D13*100&amp;"%)"</f>
        <v>Taxes (21%)</v>
      </c>
      <c r="D10" s="216">
        <f>D9*D13</f>
        <v>2415</v>
      </c>
      <c r="E10" s="11"/>
      <c r="F10" s="337"/>
      <c r="G10" s="337"/>
      <c r="H10" s="337"/>
      <c r="I10" s="337"/>
      <c r="J10" s="337"/>
      <c r="K10" s="343"/>
    </row>
    <row r="11" spans="2:11" ht="15.75" thickBot="1" x14ac:dyDescent="0.25">
      <c r="B11" s="10"/>
      <c r="C11" s="11" t="s">
        <v>10</v>
      </c>
      <c r="D11" s="217">
        <f>D9-D10</f>
        <v>9085</v>
      </c>
      <c r="E11" s="11"/>
      <c r="F11" s="337"/>
      <c r="G11" s="337"/>
      <c r="H11" s="337"/>
      <c r="I11" s="337"/>
      <c r="J11" s="337"/>
      <c r="K11" s="343"/>
    </row>
    <row r="12" spans="2:11" ht="15.75" thickTop="1" x14ac:dyDescent="0.2">
      <c r="B12" s="10"/>
      <c r="C12" s="337"/>
      <c r="D12" s="214"/>
      <c r="E12" s="11"/>
      <c r="F12" s="337"/>
      <c r="G12" s="337"/>
      <c r="H12" s="337"/>
      <c r="I12" s="337"/>
      <c r="J12" s="337"/>
      <c r="K12" s="343"/>
    </row>
    <row r="13" spans="2:11" x14ac:dyDescent="0.2">
      <c r="B13" s="10"/>
      <c r="C13" s="11" t="s">
        <v>21</v>
      </c>
      <c r="D13" s="104">
        <v>0.21</v>
      </c>
      <c r="E13" s="11"/>
      <c r="F13" s="337"/>
      <c r="G13" s="337"/>
      <c r="H13" s="337"/>
      <c r="I13" s="337"/>
      <c r="J13" s="337"/>
      <c r="K13" s="343"/>
    </row>
    <row r="14" spans="2:11" x14ac:dyDescent="0.2">
      <c r="B14" s="10"/>
      <c r="C14" s="11" t="s">
        <v>20</v>
      </c>
      <c r="D14" s="110">
        <v>2700</v>
      </c>
      <c r="E14" s="11"/>
      <c r="F14" s="337"/>
      <c r="G14" s="337"/>
      <c r="H14" s="337"/>
      <c r="I14" s="337"/>
      <c r="J14" s="337"/>
      <c r="K14" s="343"/>
    </row>
    <row r="15" spans="2:11" x14ac:dyDescent="0.2">
      <c r="B15" s="10"/>
      <c r="C15" s="11" t="s">
        <v>16</v>
      </c>
      <c r="D15" s="110">
        <v>42112</v>
      </c>
      <c r="E15" s="11"/>
      <c r="F15" s="404"/>
      <c r="G15" s="337"/>
      <c r="H15" s="337"/>
      <c r="I15" s="337"/>
      <c r="J15" s="337"/>
      <c r="K15" s="343"/>
    </row>
    <row r="16" spans="2:11" ht="15.75" thickBot="1" x14ac:dyDescent="0.25">
      <c r="B16" s="13"/>
      <c r="C16" s="14"/>
      <c r="D16" s="14"/>
      <c r="E16" s="14"/>
      <c r="F16" s="344"/>
      <c r="G16" s="344"/>
      <c r="H16" s="344"/>
      <c r="I16" s="344"/>
      <c r="J16" s="344"/>
      <c r="K16" s="345"/>
    </row>
    <row r="17" spans="2:11" x14ac:dyDescent="0.2">
      <c r="C17" s="2"/>
      <c r="E17" s="2"/>
      <c r="F17" s="2"/>
      <c r="G17" s="2"/>
      <c r="H17" s="2"/>
      <c r="I17" s="2"/>
      <c r="J17" s="2"/>
    </row>
    <row r="18" spans="2:11" x14ac:dyDescent="0.2">
      <c r="C18" s="3" t="s">
        <v>2</v>
      </c>
      <c r="E18" s="2"/>
      <c r="F18" s="2"/>
      <c r="G18" s="2"/>
      <c r="H18" s="2"/>
      <c r="I18" s="2"/>
      <c r="J18" s="2"/>
    </row>
    <row r="19" spans="2:11" ht="15.75" thickBot="1" x14ac:dyDescent="0.25">
      <c r="C19" s="4"/>
      <c r="E19" s="2"/>
      <c r="F19" s="2"/>
      <c r="G19" s="2"/>
      <c r="H19" s="2"/>
      <c r="I19" s="2"/>
      <c r="J19" s="2"/>
    </row>
    <row r="20" spans="2:11" x14ac:dyDescent="0.2">
      <c r="B20" s="16"/>
      <c r="C20" s="17"/>
      <c r="D20" s="17"/>
      <c r="E20" s="17"/>
      <c r="F20" s="17"/>
      <c r="G20" s="17"/>
      <c r="H20" s="17"/>
      <c r="I20" s="17"/>
      <c r="J20" s="17"/>
      <c r="K20" s="18"/>
    </row>
    <row r="21" spans="2:11" x14ac:dyDescent="0.2">
      <c r="B21" s="19"/>
      <c r="C21" s="20" t="s">
        <v>17</v>
      </c>
      <c r="D21" s="20"/>
      <c r="E21" s="46"/>
      <c r="F21" s="67">
        <f>(D15-D7)/D7</f>
        <v>0.12</v>
      </c>
      <c r="G21" s="20"/>
      <c r="H21" s="20"/>
      <c r="I21" s="20"/>
      <c r="J21" s="20"/>
      <c r="K21" s="23"/>
    </row>
    <row r="22" spans="2:11" x14ac:dyDescent="0.2">
      <c r="B22" s="19"/>
      <c r="C22" s="20"/>
      <c r="D22" s="20"/>
      <c r="E22" s="20"/>
      <c r="F22" s="20"/>
      <c r="G22" s="20"/>
      <c r="H22" s="20"/>
      <c r="I22" s="20"/>
      <c r="J22" s="20"/>
      <c r="K22" s="23"/>
    </row>
    <row r="23" spans="2:11" s="2" customFormat="1" x14ac:dyDescent="0.2">
      <c r="B23" s="25"/>
      <c r="C23" s="36" t="s">
        <v>9</v>
      </c>
      <c r="D23" s="26"/>
      <c r="E23" s="20"/>
      <c r="F23" s="20"/>
      <c r="G23" s="406" t="s">
        <v>12</v>
      </c>
      <c r="H23" s="406"/>
      <c r="I23" s="406"/>
      <c r="J23" s="406"/>
      <c r="K23" s="28"/>
    </row>
    <row r="24" spans="2:11" x14ac:dyDescent="0.2">
      <c r="B24" s="19"/>
      <c r="C24" s="20" t="s">
        <v>4</v>
      </c>
      <c r="D24" s="47">
        <f>D15</f>
        <v>42112</v>
      </c>
      <c r="E24" s="24"/>
      <c r="F24" s="20"/>
      <c r="G24" s="20" t="s">
        <v>6</v>
      </c>
      <c r="H24" s="47">
        <f>H7*(1+F21)</f>
        <v>151200</v>
      </c>
      <c r="I24" s="20" t="s">
        <v>7</v>
      </c>
      <c r="J24" s="47">
        <f>J7</f>
        <v>37000</v>
      </c>
      <c r="K24" s="23"/>
    </row>
    <row r="25" spans="2:11" s="2" customFormat="1" x14ac:dyDescent="0.2">
      <c r="B25" s="25"/>
      <c r="C25" s="20" t="s">
        <v>5</v>
      </c>
      <c r="D25" s="51">
        <f>D8*(1+F21)</f>
        <v>29232.000000000004</v>
      </c>
      <c r="E25" s="27"/>
      <c r="F25" s="20"/>
      <c r="G25" s="20"/>
      <c r="H25" s="39"/>
      <c r="I25" s="20" t="s">
        <v>8</v>
      </c>
      <c r="J25" s="51">
        <f>J8+D31</f>
        <v>105151.2</v>
      </c>
      <c r="K25" s="28"/>
    </row>
    <row r="26" spans="2:11" s="2" customFormat="1" ht="15.75" thickBot="1" x14ac:dyDescent="0.25">
      <c r="B26" s="25"/>
      <c r="C26" s="20" t="s">
        <v>22</v>
      </c>
      <c r="D26" s="48">
        <f>D24-D25</f>
        <v>12879.999999999996</v>
      </c>
      <c r="E26" s="27"/>
      <c r="F26" s="20"/>
      <c r="G26" s="20" t="s">
        <v>13</v>
      </c>
      <c r="H26" s="49">
        <f>H24</f>
        <v>151200</v>
      </c>
      <c r="I26" s="20" t="s">
        <v>13</v>
      </c>
      <c r="J26" s="49">
        <f>J24+J25</f>
        <v>142151.20000000001</v>
      </c>
      <c r="K26" s="28"/>
    </row>
    <row r="27" spans="2:11" s="2" customFormat="1" ht="15.75" thickTop="1" x14ac:dyDescent="0.2">
      <c r="B27" s="25"/>
      <c r="C27" s="20" t="str">
        <f>"Taxes ("&amp;D13*100&amp;"%)"</f>
        <v>Taxes (21%)</v>
      </c>
      <c r="D27" s="53">
        <f>D26*D13</f>
        <v>2704.7999999999993</v>
      </c>
      <c r="E27" s="27"/>
      <c r="F27" s="20"/>
      <c r="G27" s="20"/>
      <c r="H27" s="38"/>
      <c r="I27" s="20"/>
      <c r="J27" s="38"/>
      <c r="K27" s="28"/>
    </row>
    <row r="28" spans="2:11" ht="15.75" thickBot="1" x14ac:dyDescent="0.25">
      <c r="B28" s="19"/>
      <c r="C28" s="20" t="s">
        <v>10</v>
      </c>
      <c r="D28" s="49">
        <f>D26-D27</f>
        <v>10175.199999999997</v>
      </c>
      <c r="E28" s="21"/>
      <c r="F28" s="20"/>
      <c r="G28" s="35"/>
      <c r="H28" s="35"/>
      <c r="I28" s="35"/>
      <c r="J28" s="35"/>
      <c r="K28" s="23"/>
    </row>
    <row r="29" spans="2:11" ht="15.75" thickTop="1" x14ac:dyDescent="0.2">
      <c r="B29" s="19"/>
      <c r="C29" s="20"/>
      <c r="D29" s="47"/>
      <c r="E29" s="21"/>
      <c r="F29" s="20"/>
      <c r="G29" s="35"/>
      <c r="H29" s="35"/>
      <c r="I29" s="35"/>
      <c r="J29" s="35"/>
      <c r="K29" s="23"/>
    </row>
    <row r="30" spans="2:11" x14ac:dyDescent="0.2">
      <c r="B30" s="19"/>
      <c r="C30" s="20" t="s">
        <v>14</v>
      </c>
      <c r="D30" s="47">
        <f>(D14/D11)*D28</f>
        <v>3023.9999999999991</v>
      </c>
      <c r="E30" s="21"/>
      <c r="F30" s="392"/>
      <c r="G30" s="20"/>
      <c r="H30" s="22"/>
      <c r="I30" s="20"/>
      <c r="J30" s="22"/>
      <c r="K30" s="23"/>
    </row>
    <row r="31" spans="2:11" x14ac:dyDescent="0.2">
      <c r="B31" s="19"/>
      <c r="C31" s="20" t="s">
        <v>15</v>
      </c>
      <c r="D31" s="47">
        <f>D28-D30</f>
        <v>7151.199999999998</v>
      </c>
      <c r="E31" s="21"/>
      <c r="F31" s="20"/>
      <c r="G31" s="20"/>
      <c r="H31" s="22"/>
      <c r="I31" s="20"/>
      <c r="J31" s="22"/>
      <c r="K31" s="23"/>
    </row>
    <row r="32" spans="2:11" x14ac:dyDescent="0.2">
      <c r="B32" s="19"/>
      <c r="C32" s="20"/>
      <c r="D32" s="29"/>
      <c r="E32" s="29"/>
      <c r="F32" s="20"/>
      <c r="G32" s="20"/>
      <c r="H32" s="20"/>
      <c r="I32" s="20"/>
      <c r="J32" s="20"/>
      <c r="K32" s="23"/>
    </row>
    <row r="33" spans="2:11" ht="15.75" x14ac:dyDescent="0.25">
      <c r="B33" s="19"/>
      <c r="C33" s="20" t="s">
        <v>183</v>
      </c>
      <c r="D33" s="50">
        <f>H26-J26</f>
        <v>9048.7999999999884</v>
      </c>
      <c r="E33" s="20"/>
      <c r="F33" s="34"/>
      <c r="G33" s="34"/>
      <c r="H33" s="20"/>
      <c r="I33" s="43"/>
      <c r="J33" s="20"/>
      <c r="K33" s="23"/>
    </row>
    <row r="34" spans="2:11" ht="15.75" thickBot="1" x14ac:dyDescent="0.25">
      <c r="B34" s="30"/>
      <c r="C34" s="31"/>
      <c r="D34" s="33"/>
      <c r="E34" s="31"/>
      <c r="F34" s="31"/>
      <c r="G34" s="31"/>
      <c r="H34" s="31"/>
      <c r="I34" s="31"/>
      <c r="J34" s="31"/>
      <c r="K34" s="32"/>
    </row>
  </sheetData>
  <mergeCells count="1">
    <mergeCell ref="G23:J23"/>
  </mergeCells>
  <phoneticPr fontId="21" type="noConversion"/>
  <pageMargins left="0.75" right="0.75" top="1" bottom="1" header="0.5" footer="0.5"/>
  <pageSetup scale="83" orientation="portrait" horizontalDpi="300" r:id="rId1"/>
  <headerFooter alignWithMargins="0"/>
  <ignoredErrors>
    <ignoredError sqref="D27 D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6"/>
  <dimension ref="B1:K25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9.28515625" bestFit="1" customWidth="1"/>
    <col min="4" max="4" width="14.7109375" style="2" customWidth="1"/>
    <col min="5" max="5" width="3" customWidth="1"/>
    <col min="6" max="6" width="15.85546875" bestFit="1" customWidth="1"/>
    <col min="7" max="7" width="14.7109375" customWidth="1"/>
    <col min="8" max="8" width="4.140625" customWidth="1"/>
    <col min="9" max="9" width="16.5703125" bestFit="1" customWidth="1"/>
    <col min="10" max="10" width="14.7109375" customWidth="1"/>
    <col min="11" max="11" width="3" customWidth="1"/>
  </cols>
  <sheetData>
    <row r="1" spans="2:11" ht="18" x14ac:dyDescent="0.25">
      <c r="C1" s="1" t="s">
        <v>98</v>
      </c>
    </row>
    <row r="2" spans="2:11" x14ac:dyDescent="0.2">
      <c r="C2" s="2" t="s">
        <v>24</v>
      </c>
    </row>
    <row r="4" spans="2:11" x14ac:dyDescent="0.2">
      <c r="C4" s="3" t="s">
        <v>0</v>
      </c>
      <c r="E4" s="2"/>
      <c r="F4" s="2"/>
      <c r="G4" s="2"/>
      <c r="H4" s="2"/>
    </row>
    <row r="5" spans="2:11" ht="15.75" thickBot="1" x14ac:dyDescent="0.25">
      <c r="C5" s="4"/>
      <c r="D5" s="5"/>
      <c r="E5" s="2"/>
      <c r="F5" s="2"/>
      <c r="G5" s="2"/>
      <c r="H5" s="2"/>
    </row>
    <row r="6" spans="2:11" x14ac:dyDescent="0.2">
      <c r="B6" s="348"/>
      <c r="C6" s="349"/>
      <c r="D6" s="341"/>
      <c r="E6" s="341"/>
      <c r="F6" s="341"/>
      <c r="G6" s="341"/>
      <c r="H6" s="341"/>
      <c r="I6" s="358"/>
      <c r="J6" s="358"/>
      <c r="K6" s="342"/>
    </row>
    <row r="7" spans="2:11" x14ac:dyDescent="0.2">
      <c r="B7" s="351"/>
      <c r="C7" s="337" t="s">
        <v>4</v>
      </c>
      <c r="D7" s="234">
        <v>49000</v>
      </c>
      <c r="E7" s="337"/>
      <c r="F7" s="337" t="s">
        <v>3</v>
      </c>
      <c r="G7" s="259">
        <v>27000</v>
      </c>
      <c r="H7" s="337"/>
      <c r="I7" s="337" t="s">
        <v>26</v>
      </c>
      <c r="J7" s="259">
        <v>59000</v>
      </c>
      <c r="K7" s="343"/>
    </row>
    <row r="8" spans="2:11" x14ac:dyDescent="0.2">
      <c r="B8" s="351"/>
      <c r="C8" s="337" t="s">
        <v>5</v>
      </c>
      <c r="D8" s="239">
        <v>23600</v>
      </c>
      <c r="E8" s="337"/>
      <c r="F8" s="337" t="s">
        <v>25</v>
      </c>
      <c r="G8" s="353">
        <v>120000</v>
      </c>
      <c r="H8" s="337"/>
      <c r="I8" s="337" t="s">
        <v>8</v>
      </c>
      <c r="J8" s="346">
        <f>J9-J7</f>
        <v>88000</v>
      </c>
      <c r="K8" s="343"/>
    </row>
    <row r="9" spans="2:11" ht="15.75" thickBot="1" x14ac:dyDescent="0.25">
      <c r="B9" s="351"/>
      <c r="C9" s="337" t="s">
        <v>22</v>
      </c>
      <c r="D9" s="260">
        <f>D7-D8</f>
        <v>25400</v>
      </c>
      <c r="E9" s="337"/>
      <c r="F9" s="337" t="s">
        <v>13</v>
      </c>
      <c r="G9" s="354">
        <f>SUM(G7:G8)</f>
        <v>147000</v>
      </c>
      <c r="H9" s="337"/>
      <c r="I9" s="337" t="s">
        <v>13</v>
      </c>
      <c r="J9" s="354">
        <f>G9</f>
        <v>147000</v>
      </c>
      <c r="K9" s="343"/>
    </row>
    <row r="10" spans="2:11" ht="15.75" thickTop="1" x14ac:dyDescent="0.2">
      <c r="B10" s="351"/>
      <c r="C10" s="337" t="str">
        <f>"Taxes ("&amp;D13*100&amp;"%)"</f>
        <v>Taxes (21%)</v>
      </c>
      <c r="D10" s="355">
        <f>D9*D13</f>
        <v>5334</v>
      </c>
      <c r="E10" s="337"/>
      <c r="F10" s="337"/>
      <c r="G10" s="337"/>
      <c r="H10" s="337"/>
      <c r="I10" s="359"/>
      <c r="J10" s="359"/>
      <c r="K10" s="343"/>
    </row>
    <row r="11" spans="2:11" ht="15.75" thickBot="1" x14ac:dyDescent="0.25">
      <c r="B11" s="351"/>
      <c r="C11" s="337" t="s">
        <v>10</v>
      </c>
      <c r="D11" s="266">
        <f>D9-D10</f>
        <v>20066</v>
      </c>
      <c r="E11" s="337"/>
      <c r="F11" s="337"/>
      <c r="G11" s="337"/>
      <c r="H11" s="337"/>
      <c r="I11" s="359"/>
      <c r="J11" s="359"/>
      <c r="K11" s="343"/>
    </row>
    <row r="12" spans="2:11" ht="15.75" thickTop="1" x14ac:dyDescent="0.2">
      <c r="B12" s="351"/>
      <c r="C12" s="337"/>
      <c r="D12" s="237"/>
      <c r="E12" s="337"/>
      <c r="F12" s="337"/>
      <c r="G12" s="337"/>
      <c r="H12" s="337"/>
      <c r="I12" s="359"/>
      <c r="J12" s="359"/>
      <c r="K12" s="343"/>
    </row>
    <row r="13" spans="2:11" x14ac:dyDescent="0.2">
      <c r="B13" s="351"/>
      <c r="C13" s="337" t="s">
        <v>21</v>
      </c>
      <c r="D13" s="233">
        <v>0.21</v>
      </c>
      <c r="E13" s="337"/>
      <c r="F13" s="337"/>
      <c r="G13" s="337"/>
      <c r="H13" s="337"/>
      <c r="I13" s="359"/>
      <c r="J13" s="359"/>
      <c r="K13" s="343"/>
    </row>
    <row r="14" spans="2:11" x14ac:dyDescent="0.2">
      <c r="B14" s="351"/>
      <c r="C14" s="337" t="s">
        <v>27</v>
      </c>
      <c r="D14" s="233">
        <v>0.3</v>
      </c>
      <c r="E14" s="337"/>
      <c r="F14" s="337"/>
      <c r="G14" s="337"/>
      <c r="H14" s="337"/>
      <c r="I14" s="359"/>
      <c r="J14" s="359"/>
      <c r="K14" s="343"/>
    </row>
    <row r="15" spans="2:11" ht="15.75" thickBot="1" x14ac:dyDescent="0.25">
      <c r="B15" s="356"/>
      <c r="C15" s="344"/>
      <c r="D15" s="344"/>
      <c r="E15" s="344"/>
      <c r="F15" s="344"/>
      <c r="G15" s="344"/>
      <c r="H15" s="344"/>
      <c r="I15" s="360"/>
      <c r="J15" s="360"/>
      <c r="K15" s="345"/>
    </row>
    <row r="16" spans="2:11" x14ac:dyDescent="0.2">
      <c r="C16" s="2"/>
      <c r="E16" s="2"/>
      <c r="F16" s="2"/>
      <c r="G16" s="2"/>
      <c r="H16" s="2"/>
    </row>
    <row r="17" spans="2:8" x14ac:dyDescent="0.2">
      <c r="C17" s="3" t="s">
        <v>2</v>
      </c>
      <c r="E17" s="2"/>
      <c r="F17" s="2"/>
      <c r="G17" s="2"/>
      <c r="H17" s="2"/>
    </row>
    <row r="18" spans="2:8" ht="15.75" thickBot="1" x14ac:dyDescent="0.25">
      <c r="C18" s="4"/>
      <c r="E18" s="2"/>
      <c r="F18" s="2"/>
      <c r="G18" s="2"/>
      <c r="H18" s="2"/>
    </row>
    <row r="19" spans="2:8" x14ac:dyDescent="0.2">
      <c r="B19" s="16"/>
      <c r="C19" s="17"/>
      <c r="D19" s="17"/>
      <c r="E19" s="18"/>
    </row>
    <row r="20" spans="2:8" s="2" customFormat="1" x14ac:dyDescent="0.2">
      <c r="B20" s="25"/>
      <c r="C20" s="58" t="s">
        <v>80</v>
      </c>
      <c r="D20" s="67">
        <f>D11/J8</f>
        <v>0.22802272727272727</v>
      </c>
      <c r="E20" s="28"/>
    </row>
    <row r="21" spans="2:8" x14ac:dyDescent="0.2">
      <c r="B21" s="19"/>
      <c r="C21" s="189" t="s">
        <v>89</v>
      </c>
      <c r="D21" s="53">
        <f>1-D14</f>
        <v>0.7</v>
      </c>
      <c r="E21" s="23"/>
    </row>
    <row r="22" spans="2:8" s="2" customFormat="1" x14ac:dyDescent="0.2">
      <c r="B22" s="25"/>
      <c r="C22" s="20" t="s">
        <v>184</v>
      </c>
      <c r="D22" s="67">
        <f>(D20*D21)/(1-D20*D21)</f>
        <v>0.18993209273898026</v>
      </c>
      <c r="E22" s="28"/>
    </row>
    <row r="23" spans="2:8" s="2" customFormat="1" x14ac:dyDescent="0.2">
      <c r="B23" s="25"/>
      <c r="C23" s="20"/>
      <c r="D23" s="48"/>
      <c r="E23" s="28"/>
    </row>
    <row r="24" spans="2:8" s="2" customFormat="1" ht="15.75" x14ac:dyDescent="0.25">
      <c r="B24" s="25"/>
      <c r="C24" s="20" t="s">
        <v>185</v>
      </c>
      <c r="D24" s="50">
        <f>D7*D22</f>
        <v>9306.6725442100324</v>
      </c>
      <c r="E24" s="28"/>
    </row>
    <row r="25" spans="2:8" ht="15.75" thickBot="1" x14ac:dyDescent="0.25">
      <c r="B25" s="30"/>
      <c r="C25" s="31"/>
      <c r="D25" s="33"/>
      <c r="E25" s="32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"/>
  <dimension ref="B1:I1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6" customWidth="1"/>
    <col min="4" max="4" width="9.140625" style="2"/>
    <col min="5" max="5" width="3.140625" style="59" customWidth="1"/>
    <col min="8" max="8" width="9.140625" customWidth="1"/>
    <col min="9" max="9" width="9.140625" style="2"/>
    <col min="10" max="10" width="9.140625" customWidth="1"/>
  </cols>
  <sheetData>
    <row r="1" spans="2:9" ht="18" x14ac:dyDescent="0.25">
      <c r="C1" s="1" t="s">
        <v>98</v>
      </c>
    </row>
    <row r="2" spans="2:9" x14ac:dyDescent="0.2">
      <c r="C2" s="2" t="s">
        <v>99</v>
      </c>
    </row>
    <row r="4" spans="2:9" x14ac:dyDescent="0.2">
      <c r="C4" s="3" t="s">
        <v>0</v>
      </c>
    </row>
    <row r="5" spans="2:9" ht="15.75" thickBot="1" x14ac:dyDescent="0.25">
      <c r="C5" s="4"/>
      <c r="D5" s="5"/>
    </row>
    <row r="6" spans="2:9" x14ac:dyDescent="0.2">
      <c r="B6" s="6"/>
      <c r="C6" s="7"/>
      <c r="D6" s="8"/>
      <c r="E6" s="60"/>
    </row>
    <row r="7" spans="2:9" x14ac:dyDescent="0.2">
      <c r="B7" s="10"/>
      <c r="C7" s="11" t="s">
        <v>45</v>
      </c>
      <c r="D7" s="104">
        <v>0.11</v>
      </c>
      <c r="E7" s="61"/>
    </row>
    <row r="8" spans="2:9" x14ac:dyDescent="0.2">
      <c r="B8" s="10"/>
      <c r="C8" s="11" t="s">
        <v>27</v>
      </c>
      <c r="D8" s="104">
        <v>0.2</v>
      </c>
      <c r="E8" s="61"/>
    </row>
    <row r="9" spans="2:9" ht="15.75" thickBot="1" x14ac:dyDescent="0.25">
      <c r="B9" s="13"/>
      <c r="C9" s="14"/>
      <c r="D9" s="64"/>
      <c r="E9" s="62"/>
    </row>
    <row r="10" spans="2:9" x14ac:dyDescent="0.2">
      <c r="C10" s="2"/>
    </row>
    <row r="11" spans="2:9" x14ac:dyDescent="0.2">
      <c r="C11" s="3" t="s">
        <v>2</v>
      </c>
    </row>
    <row r="12" spans="2:9" ht="15.75" thickBot="1" x14ac:dyDescent="0.25">
      <c r="C12" s="4"/>
    </row>
    <row r="13" spans="2:9" x14ac:dyDescent="0.2">
      <c r="B13" s="16"/>
      <c r="C13" s="17"/>
      <c r="D13" s="17"/>
      <c r="E13" s="18"/>
      <c r="I13"/>
    </row>
    <row r="14" spans="2:9" x14ac:dyDescent="0.2">
      <c r="B14" s="19"/>
      <c r="C14" s="20" t="s">
        <v>89</v>
      </c>
      <c r="D14" s="66">
        <f>1-D8</f>
        <v>0.8</v>
      </c>
      <c r="E14" s="23"/>
      <c r="I14"/>
    </row>
    <row r="15" spans="2:9" x14ac:dyDescent="0.2">
      <c r="B15" s="19"/>
      <c r="C15" s="20"/>
      <c r="D15" s="20"/>
      <c r="E15" s="23"/>
      <c r="I15"/>
    </row>
    <row r="16" spans="2:9" ht="15.75" x14ac:dyDescent="0.25">
      <c r="B16" s="19"/>
      <c r="C16" s="20" t="s">
        <v>184</v>
      </c>
      <c r="D16" s="57">
        <f>(D7*D14)/(1-D7*D14)</f>
        <v>9.6491228070175447E-2</v>
      </c>
      <c r="E16" s="23"/>
      <c r="I16"/>
    </row>
    <row r="17" spans="2:9" ht="15.75" thickBot="1" x14ac:dyDescent="0.25">
      <c r="B17" s="30"/>
      <c r="C17" s="31"/>
      <c r="D17" s="33"/>
      <c r="E17" s="32"/>
      <c r="I17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"/>
  <dimension ref="B1:I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7" bestFit="1" customWidth="1"/>
    <col min="4" max="4" width="14.140625" style="2" bestFit="1" customWidth="1"/>
    <col min="5" max="5" width="3.140625" style="59" customWidth="1"/>
    <col min="6" max="8" width="9.140625" customWidth="1"/>
    <col min="9" max="9" width="9.140625" style="2" customWidth="1"/>
    <col min="10" max="10" width="9.140625" customWidth="1"/>
  </cols>
  <sheetData>
    <row r="1" spans="2:9" ht="18" x14ac:dyDescent="0.25">
      <c r="C1" s="1" t="s">
        <v>98</v>
      </c>
    </row>
    <row r="2" spans="2:9" x14ac:dyDescent="0.2">
      <c r="C2" s="2" t="s">
        <v>100</v>
      </c>
    </row>
    <row r="4" spans="2:9" x14ac:dyDescent="0.2">
      <c r="C4" s="3" t="s">
        <v>0</v>
      </c>
    </row>
    <row r="5" spans="2:9" ht="15.75" thickBot="1" x14ac:dyDescent="0.25">
      <c r="C5" s="4"/>
      <c r="D5" s="5"/>
    </row>
    <row r="6" spans="2:9" x14ac:dyDescent="0.2">
      <c r="B6" s="6"/>
      <c r="C6" s="7"/>
      <c r="D6" s="8"/>
      <c r="E6" s="60"/>
    </row>
    <row r="7" spans="2:9" x14ac:dyDescent="0.2">
      <c r="B7" s="10"/>
      <c r="C7" s="11" t="s">
        <v>50</v>
      </c>
      <c r="D7" s="107">
        <v>2.65</v>
      </c>
      <c r="E7" s="61"/>
    </row>
    <row r="8" spans="2:9" x14ac:dyDescent="0.2">
      <c r="B8" s="10"/>
      <c r="C8" s="11" t="s">
        <v>47</v>
      </c>
      <c r="D8" s="106">
        <v>5.7000000000000002E-2</v>
      </c>
      <c r="E8" s="61"/>
    </row>
    <row r="9" spans="2:9" x14ac:dyDescent="0.2">
      <c r="B9" s="10"/>
      <c r="C9" s="11" t="s">
        <v>51</v>
      </c>
      <c r="D9" s="107">
        <v>1.6</v>
      </c>
      <c r="E9" s="61"/>
    </row>
    <row r="10" spans="2:9" x14ac:dyDescent="0.2">
      <c r="B10" s="10"/>
      <c r="C10" s="11" t="s">
        <v>27</v>
      </c>
      <c r="D10" s="104">
        <v>0.7</v>
      </c>
      <c r="E10" s="61"/>
    </row>
    <row r="11" spans="2:9" ht="15.75" thickBot="1" x14ac:dyDescent="0.25">
      <c r="B11" s="13"/>
      <c r="C11" s="14"/>
      <c r="D11" s="64"/>
      <c r="E11" s="62"/>
    </row>
    <row r="12" spans="2:9" x14ac:dyDescent="0.2">
      <c r="C12" s="2"/>
    </row>
    <row r="13" spans="2:9" x14ac:dyDescent="0.2">
      <c r="C13" s="3" t="s">
        <v>2</v>
      </c>
    </row>
    <row r="14" spans="2:9" ht="15.75" thickBot="1" x14ac:dyDescent="0.25">
      <c r="C14" s="4"/>
    </row>
    <row r="15" spans="2:9" x14ac:dyDescent="0.2">
      <c r="B15" s="16"/>
      <c r="C15" s="17"/>
      <c r="D15" s="17"/>
      <c r="E15" s="18"/>
      <c r="I15"/>
    </row>
    <row r="16" spans="2:9" x14ac:dyDescent="0.2">
      <c r="B16" s="19"/>
      <c r="C16" s="20" t="s">
        <v>80</v>
      </c>
      <c r="D16" s="67">
        <f>D8*D7*D9</f>
        <v>0.24168000000000001</v>
      </c>
      <c r="E16" s="23"/>
      <c r="I16"/>
    </row>
    <row r="17" spans="2:9" x14ac:dyDescent="0.2">
      <c r="B17" s="19"/>
      <c r="C17" s="20"/>
      <c r="D17" s="20"/>
      <c r="E17" s="23"/>
      <c r="I17"/>
    </row>
    <row r="18" spans="2:9" x14ac:dyDescent="0.2">
      <c r="B18" s="19"/>
      <c r="C18" s="20" t="s">
        <v>89</v>
      </c>
      <c r="D18" s="111">
        <f>1-D10</f>
        <v>0.30000000000000004</v>
      </c>
      <c r="E18" s="23"/>
      <c r="I18"/>
    </row>
    <row r="19" spans="2:9" x14ac:dyDescent="0.2">
      <c r="B19" s="19"/>
      <c r="C19" s="20"/>
      <c r="D19" s="21"/>
      <c r="E19" s="23"/>
      <c r="I19"/>
    </row>
    <row r="20" spans="2:9" ht="15.75" x14ac:dyDescent="0.25">
      <c r="B20" s="19"/>
      <c r="C20" s="20" t="s">
        <v>56</v>
      </c>
      <c r="D20" s="57">
        <f>(D16*D18)/(1-D16*D18)</f>
        <v>7.8171765700337265E-2</v>
      </c>
      <c r="E20" s="23"/>
      <c r="I20"/>
    </row>
    <row r="21" spans="2:9" ht="13.5" thickBot="1" x14ac:dyDescent="0.25">
      <c r="B21" s="30"/>
      <c r="C21" s="31"/>
      <c r="D21" s="31"/>
      <c r="E21" s="32"/>
      <c r="I21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B1:K25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.140625" customWidth="1"/>
    <col min="4" max="4" width="14.7109375" style="2" customWidth="1"/>
    <col min="5" max="5" width="3" customWidth="1"/>
    <col min="6" max="6" width="10.42578125" customWidth="1"/>
    <col min="7" max="7" width="9" customWidth="1"/>
    <col min="8" max="8" width="11" customWidth="1"/>
    <col min="9" max="9" width="11.140625" customWidth="1"/>
    <col min="10" max="10" width="11" customWidth="1"/>
    <col min="11" max="11" width="3.140625" customWidth="1"/>
  </cols>
  <sheetData>
    <row r="1" spans="2:11" ht="18" x14ac:dyDescent="0.25">
      <c r="C1" s="1" t="s">
        <v>98</v>
      </c>
    </row>
    <row r="2" spans="2:11" x14ac:dyDescent="0.2">
      <c r="C2" s="2" t="s">
        <v>172</v>
      </c>
    </row>
    <row r="4" spans="2:11" x14ac:dyDescent="0.2">
      <c r="C4" s="3" t="s">
        <v>0</v>
      </c>
      <c r="E4" s="2"/>
      <c r="F4" s="2"/>
      <c r="G4" s="2"/>
      <c r="H4" s="2"/>
      <c r="I4" s="2"/>
      <c r="J4" s="2"/>
    </row>
    <row r="5" spans="2:11" ht="15.75" thickBot="1" x14ac:dyDescent="0.25">
      <c r="C5" s="4"/>
      <c r="D5" s="5"/>
      <c r="E5" s="2"/>
      <c r="F5" s="2"/>
      <c r="G5" s="2"/>
      <c r="H5" s="2"/>
      <c r="I5" s="2"/>
      <c r="J5" s="2"/>
    </row>
    <row r="6" spans="2:11" x14ac:dyDescent="0.2">
      <c r="B6" s="348"/>
      <c r="C6" s="349"/>
      <c r="D6" s="341"/>
      <c r="E6" s="341"/>
      <c r="F6" s="341"/>
      <c r="G6" s="341"/>
      <c r="H6" s="341"/>
      <c r="I6" s="341"/>
      <c r="J6" s="341"/>
      <c r="K6" s="342"/>
    </row>
    <row r="7" spans="2:11" x14ac:dyDescent="0.2">
      <c r="B7" s="351"/>
      <c r="C7" s="337" t="s">
        <v>4</v>
      </c>
      <c r="D7" s="234">
        <v>8300</v>
      </c>
      <c r="E7" s="337"/>
      <c r="F7" s="337"/>
      <c r="G7" s="337" t="s">
        <v>6</v>
      </c>
      <c r="H7" s="259">
        <v>19100</v>
      </c>
      <c r="I7" s="337" t="s">
        <v>7</v>
      </c>
      <c r="J7" s="259">
        <v>8400</v>
      </c>
      <c r="K7" s="343"/>
    </row>
    <row r="8" spans="2:11" x14ac:dyDescent="0.2">
      <c r="B8" s="351"/>
      <c r="C8" s="337" t="s">
        <v>5</v>
      </c>
      <c r="D8" s="237">
        <v>6490</v>
      </c>
      <c r="E8" s="337"/>
      <c r="F8" s="337"/>
      <c r="G8" s="337"/>
      <c r="H8" s="337"/>
      <c r="I8" s="337" t="s">
        <v>8</v>
      </c>
      <c r="J8" s="346">
        <f>J9-J7</f>
        <v>10700</v>
      </c>
      <c r="K8" s="343"/>
    </row>
    <row r="9" spans="2:11" ht="15.75" thickBot="1" x14ac:dyDescent="0.25">
      <c r="B9" s="351"/>
      <c r="C9" s="337" t="s">
        <v>10</v>
      </c>
      <c r="D9" s="266">
        <f>D7-D8</f>
        <v>1810</v>
      </c>
      <c r="E9" s="337"/>
      <c r="F9" s="337"/>
      <c r="G9" s="337" t="s">
        <v>13</v>
      </c>
      <c r="H9" s="354">
        <f>H7</f>
        <v>19100</v>
      </c>
      <c r="I9" s="337" t="s">
        <v>13</v>
      </c>
      <c r="J9" s="354">
        <f>H9</f>
        <v>19100</v>
      </c>
      <c r="K9" s="343"/>
    </row>
    <row r="10" spans="2:11" ht="15.75" thickTop="1" x14ac:dyDescent="0.2">
      <c r="B10" s="351"/>
      <c r="C10" s="359"/>
      <c r="D10" s="337"/>
      <c r="E10" s="337"/>
      <c r="F10" s="337"/>
      <c r="G10" s="337"/>
      <c r="H10" s="337"/>
      <c r="I10" s="337"/>
      <c r="J10" s="337"/>
      <c r="K10" s="343"/>
    </row>
    <row r="11" spans="2:11" x14ac:dyDescent="0.2">
      <c r="B11" s="351"/>
      <c r="C11" s="337" t="s">
        <v>16</v>
      </c>
      <c r="D11" s="259">
        <v>9462</v>
      </c>
      <c r="E11" s="337"/>
      <c r="F11" s="337"/>
      <c r="G11" s="337"/>
      <c r="H11" s="337"/>
      <c r="I11" s="337"/>
      <c r="J11" s="337"/>
      <c r="K11" s="343"/>
    </row>
    <row r="12" spans="2:11" ht="15.75" thickBot="1" x14ac:dyDescent="0.25">
      <c r="B12" s="356"/>
      <c r="C12" s="344"/>
      <c r="D12" s="344"/>
      <c r="E12" s="344"/>
      <c r="F12" s="344"/>
      <c r="G12" s="344"/>
      <c r="H12" s="344"/>
      <c r="I12" s="344"/>
      <c r="J12" s="344"/>
      <c r="K12" s="345"/>
    </row>
    <row r="13" spans="2:11" x14ac:dyDescent="0.2">
      <c r="C13" s="2"/>
      <c r="E13" s="2"/>
      <c r="F13" s="2"/>
      <c r="G13" s="2"/>
      <c r="H13" s="2"/>
      <c r="I13" s="2"/>
      <c r="J13" s="2"/>
    </row>
    <row r="14" spans="2:11" x14ac:dyDescent="0.2">
      <c r="C14" s="3" t="s">
        <v>2</v>
      </c>
      <c r="E14" s="2"/>
      <c r="F14" s="2"/>
      <c r="G14" s="2"/>
      <c r="H14" s="2"/>
      <c r="I14" s="2"/>
      <c r="J14" s="2"/>
    </row>
    <row r="15" spans="2:11" ht="15.75" thickBot="1" x14ac:dyDescent="0.25">
      <c r="C15" s="4"/>
      <c r="E15" s="2"/>
      <c r="F15" s="2"/>
      <c r="G15" s="2"/>
      <c r="H15" s="2"/>
      <c r="I15" s="2"/>
      <c r="J15" s="2"/>
    </row>
    <row r="16" spans="2:11" x14ac:dyDescent="0.2">
      <c r="B16" s="16"/>
      <c r="C16" s="17"/>
      <c r="D16" s="17"/>
      <c r="E16" s="17"/>
      <c r="F16" s="17"/>
      <c r="G16" s="17"/>
      <c r="H16" s="17"/>
      <c r="I16" s="17"/>
      <c r="J16" s="17"/>
      <c r="K16" s="18"/>
    </row>
    <row r="17" spans="2:11" x14ac:dyDescent="0.2">
      <c r="B17" s="19"/>
      <c r="C17" s="20" t="s">
        <v>186</v>
      </c>
      <c r="D17" s="20"/>
      <c r="E17" s="46"/>
      <c r="F17" s="67">
        <f>(D11-D7)/D7</f>
        <v>0.14000000000000001</v>
      </c>
      <c r="G17" s="20"/>
      <c r="H17" s="20"/>
      <c r="I17" s="20"/>
      <c r="J17" s="20"/>
      <c r="K17" s="23"/>
    </row>
    <row r="18" spans="2:1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23"/>
    </row>
    <row r="19" spans="2:11" s="2" customFormat="1" x14ac:dyDescent="0.2">
      <c r="B19" s="25"/>
      <c r="C19" s="36" t="s">
        <v>9</v>
      </c>
      <c r="D19" s="26"/>
      <c r="E19" s="20"/>
      <c r="F19" s="20"/>
      <c r="G19" s="26" t="s">
        <v>12</v>
      </c>
      <c r="H19" s="26"/>
      <c r="I19" s="26"/>
      <c r="J19" s="22"/>
      <c r="K19" s="28"/>
    </row>
    <row r="20" spans="2:11" x14ac:dyDescent="0.2">
      <c r="B20" s="19"/>
      <c r="C20" s="20" t="s">
        <v>4</v>
      </c>
      <c r="D20" s="22">
        <f>D11</f>
        <v>9462</v>
      </c>
      <c r="E20" s="24"/>
      <c r="F20" s="20"/>
      <c r="G20" s="20" t="s">
        <v>6</v>
      </c>
      <c r="H20" s="22">
        <f>H7*(1+F17)</f>
        <v>21774.000000000004</v>
      </c>
      <c r="I20" s="20" t="s">
        <v>7</v>
      </c>
      <c r="J20" s="22">
        <f>J7</f>
        <v>8400</v>
      </c>
      <c r="K20" s="23"/>
    </row>
    <row r="21" spans="2:11" s="2" customFormat="1" x14ac:dyDescent="0.2">
      <c r="B21" s="25"/>
      <c r="C21" s="20" t="s">
        <v>5</v>
      </c>
      <c r="D21" s="39">
        <f>D8*(1+F17)</f>
        <v>7398.6</v>
      </c>
      <c r="E21" s="27"/>
      <c r="F21" s="20"/>
      <c r="G21" s="20"/>
      <c r="H21" s="39"/>
      <c r="I21" s="20" t="s">
        <v>8</v>
      </c>
      <c r="J21" s="39">
        <f>J8+D22</f>
        <v>12763.4</v>
      </c>
      <c r="K21" s="28"/>
    </row>
    <row r="22" spans="2:11" ht="15.75" thickBot="1" x14ac:dyDescent="0.25">
      <c r="B22" s="19"/>
      <c r="C22" s="20" t="s">
        <v>10</v>
      </c>
      <c r="D22" s="40">
        <f>D20-D21</f>
        <v>2063.3999999999996</v>
      </c>
      <c r="E22" s="21"/>
      <c r="F22" s="20"/>
      <c r="G22" s="20" t="s">
        <v>13</v>
      </c>
      <c r="H22" s="40">
        <f>H20</f>
        <v>21774.000000000004</v>
      </c>
      <c r="I22" s="20" t="s">
        <v>13</v>
      </c>
      <c r="J22" s="40">
        <f>J20+J21</f>
        <v>21163.4</v>
      </c>
      <c r="K22" s="23"/>
    </row>
    <row r="23" spans="2:11" ht="15.75" thickTop="1" x14ac:dyDescent="0.2">
      <c r="B23" s="19"/>
      <c r="C23" s="20"/>
      <c r="D23" s="29"/>
      <c r="E23" s="29"/>
      <c r="F23" s="20"/>
      <c r="G23" s="20"/>
      <c r="H23" s="20"/>
      <c r="I23" s="20"/>
      <c r="J23" s="20"/>
      <c r="K23" s="23"/>
    </row>
    <row r="24" spans="2:11" ht="15.75" x14ac:dyDescent="0.25">
      <c r="B24" s="19"/>
      <c r="C24" s="20" t="s">
        <v>187</v>
      </c>
      <c r="D24" s="44">
        <f>H22-J22</f>
        <v>610.60000000000218</v>
      </c>
      <c r="E24" s="20"/>
      <c r="F24" s="34"/>
      <c r="G24" s="34"/>
      <c r="H24" s="43"/>
      <c r="I24" s="43"/>
      <c r="J24" s="20"/>
      <c r="K24" s="23"/>
    </row>
    <row r="25" spans="2:11" ht="15.75" thickBot="1" x14ac:dyDescent="0.25">
      <c r="B25" s="30"/>
      <c r="C25" s="31"/>
      <c r="D25" s="33"/>
      <c r="E25" s="31"/>
      <c r="F25" s="31"/>
      <c r="G25" s="31"/>
      <c r="H25" s="31"/>
      <c r="I25" s="31"/>
      <c r="J25" s="31"/>
      <c r="K25" s="32"/>
    </row>
  </sheetData>
  <phoneticPr fontId="21" type="noConversion"/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Chapter 3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#18</vt:lpstr>
      <vt:lpstr>#19,20</vt:lpstr>
      <vt:lpstr>#21-25</vt:lpstr>
      <vt:lpstr>#26</vt:lpstr>
      <vt:lpstr>#27</vt:lpstr>
      <vt:lpstr>#30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2014-10-12T21:54:13Z</cp:lastPrinted>
  <dcterms:created xsi:type="dcterms:W3CDTF">2002-03-04T00:08:41Z</dcterms:created>
  <dcterms:modified xsi:type="dcterms:W3CDTF">2018-01-21T23:09:33Z</dcterms:modified>
</cp:coreProperties>
</file>