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-60" yWindow="90" windowWidth="12000" windowHeight="7305"/>
  </bookViews>
  <sheets>
    <sheet name="Chapter 7" sheetId="27" r:id="rId1"/>
    <sheet name="#1" sheetId="8" r:id="rId2"/>
    <sheet name="#2" sheetId="9" r:id="rId3"/>
    <sheet name="#3" sheetId="35" r:id="rId4"/>
    <sheet name="#4" sheetId="12" r:id="rId5"/>
    <sheet name="#5" sheetId="45" r:id="rId6"/>
    <sheet name="#6" sheetId="46" r:id="rId7"/>
    <sheet name="#7" sheetId="47" r:id="rId8"/>
    <sheet name="#8" sheetId="48" r:id="rId9"/>
    <sheet name="#9" sheetId="53" r:id="rId10"/>
    <sheet name="#10" sheetId="52" r:id="rId11"/>
    <sheet name="#11" sheetId="19" r:id="rId12"/>
    <sheet name="#12" sheetId="44" r:id="rId13"/>
    <sheet name="#13" sheetId="22" r:id="rId14"/>
    <sheet name="#14" sheetId="36" r:id="rId15"/>
    <sheet name="#15" sheetId="37" r:id="rId16"/>
    <sheet name="#16" sheetId="38" r:id="rId17"/>
    <sheet name="#17" sheetId="49" r:id="rId18"/>
    <sheet name="#18" sheetId="50" r:id="rId19"/>
    <sheet name="#19" sheetId="51" r:id="rId20"/>
    <sheet name="#20" sheetId="54" r:id="rId21"/>
    <sheet name="#21" sheetId="55" r:id="rId22"/>
    <sheet name="#22" sheetId="57" r:id="rId23"/>
    <sheet name="#23" sheetId="58" r:id="rId24"/>
    <sheet name="#24" sheetId="59" r:id="rId25"/>
    <sheet name="#25" sheetId="60" r:id="rId26"/>
    <sheet name="#26" sheetId="32" r:id="rId27"/>
    <sheet name="#27" sheetId="39" r:id="rId28"/>
    <sheet name="#28" sheetId="56" r:id="rId29"/>
    <sheet name="#29" sheetId="61" r:id="rId30"/>
    <sheet name="#30" sheetId="62" r:id="rId31"/>
  </sheets>
  <calcPr calcId="152511"/>
</workbook>
</file>

<file path=xl/calcChain.xml><?xml version="1.0" encoding="utf-8"?>
<calcChain xmlns="http://schemas.openxmlformats.org/spreadsheetml/2006/main">
  <c r="E57" i="37" l="1"/>
  <c r="D57" i="37"/>
  <c r="D8" i="37"/>
  <c r="D48" i="36"/>
  <c r="E85" i="56"/>
  <c r="E86" i="56" s="1"/>
  <c r="G99" i="56" s="1"/>
  <c r="E84" i="56"/>
  <c r="E64" i="56"/>
  <c r="E65" i="56" s="1"/>
  <c r="F78" i="56" s="1"/>
  <c r="E44" i="56"/>
  <c r="E57" i="56" s="1"/>
  <c r="E63" i="56"/>
  <c r="D29" i="51"/>
  <c r="D16" i="51"/>
  <c r="D22" i="51"/>
  <c r="D10" i="53"/>
  <c r="D19" i="62"/>
  <c r="D20" i="62"/>
  <c r="D20" i="45"/>
  <c r="E20" i="45"/>
  <c r="D24" i="61"/>
  <c r="C30" i="61"/>
  <c r="D20" i="53"/>
  <c r="D21" i="62"/>
  <c r="D39" i="61"/>
  <c r="D36" i="61"/>
  <c r="D27" i="57"/>
  <c r="D26" i="57"/>
  <c r="D23" i="57"/>
  <c r="D21" i="57"/>
  <c r="D14" i="57"/>
  <c r="D19" i="52"/>
  <c r="D11" i="46"/>
  <c r="D16" i="46"/>
  <c r="D21" i="45"/>
  <c r="E21" i="45"/>
  <c r="D22" i="45"/>
  <c r="E22" i="45"/>
  <c r="D23" i="45"/>
  <c r="E23" i="45"/>
  <c r="D24" i="45"/>
  <c r="E24" i="45"/>
  <c r="D25" i="45"/>
  <c r="E25" i="45"/>
  <c r="D19" i="45"/>
  <c r="E19" i="45"/>
  <c r="D30" i="59"/>
  <c r="D22" i="62"/>
  <c r="D22" i="61"/>
  <c r="F26" i="60"/>
  <c r="F28" i="60"/>
  <c r="F30" i="60"/>
  <c r="F31" i="60"/>
  <c r="E26" i="60"/>
  <c r="E28" i="60"/>
  <c r="E30" i="60"/>
  <c r="E31" i="60"/>
  <c r="D26" i="60"/>
  <c r="D28" i="60"/>
  <c r="D30" i="60"/>
  <c r="D31" i="60"/>
  <c r="D26" i="59"/>
  <c r="D28" i="59"/>
  <c r="D22" i="59"/>
  <c r="D32" i="59"/>
  <c r="D19" i="58"/>
  <c r="D17" i="58"/>
  <c r="E26" i="56"/>
  <c r="F26" i="56"/>
  <c r="G26" i="56"/>
  <c r="H26" i="56"/>
  <c r="H29" i="56"/>
  <c r="H30" i="56"/>
  <c r="H31" i="56"/>
  <c r="H33" i="56" s="1"/>
  <c r="H37" i="56" s="1"/>
  <c r="E27" i="56"/>
  <c r="F27" i="56"/>
  <c r="G27" i="56"/>
  <c r="H27" i="56"/>
  <c r="E28" i="56"/>
  <c r="E32" i="56"/>
  <c r="F28" i="56"/>
  <c r="F32" i="56"/>
  <c r="G28" i="56"/>
  <c r="G32" i="56"/>
  <c r="H28" i="56"/>
  <c r="H32" i="56"/>
  <c r="F29" i="56"/>
  <c r="F30" i="56"/>
  <c r="D35" i="56"/>
  <c r="H35" i="56"/>
  <c r="D36" i="56"/>
  <c r="E47" i="56"/>
  <c r="E48" i="56"/>
  <c r="E49" i="56"/>
  <c r="E42" i="56"/>
  <c r="E43" i="56"/>
  <c r="D56" i="56"/>
  <c r="E56" i="56"/>
  <c r="D57" i="56"/>
  <c r="E68" i="56"/>
  <c r="F68" i="56"/>
  <c r="E69" i="56"/>
  <c r="F69" i="56"/>
  <c r="E70" i="56"/>
  <c r="E74" i="56"/>
  <c r="F70" i="56"/>
  <c r="F74" i="56"/>
  <c r="D77" i="56"/>
  <c r="F77" i="56"/>
  <c r="D78" i="56"/>
  <c r="D79" i="56"/>
  <c r="E89" i="56"/>
  <c r="F89" i="56"/>
  <c r="G89" i="56"/>
  <c r="E90" i="56"/>
  <c r="F90" i="56"/>
  <c r="G90" i="56"/>
  <c r="E91" i="56"/>
  <c r="F91" i="56"/>
  <c r="F95" i="56"/>
  <c r="G91" i="56"/>
  <c r="G95" i="56"/>
  <c r="D98" i="56"/>
  <c r="G98" i="56"/>
  <c r="D99" i="56"/>
  <c r="D100" i="56"/>
  <c r="K28" i="55"/>
  <c r="I28" i="55"/>
  <c r="E30" i="55"/>
  <c r="I32" i="55"/>
  <c r="E34" i="55"/>
  <c r="D15" i="50"/>
  <c r="D15" i="51"/>
  <c r="D26" i="51"/>
  <c r="D14" i="50"/>
  <c r="D14" i="51"/>
  <c r="D13" i="50"/>
  <c r="D13" i="51"/>
  <c r="D12" i="50"/>
  <c r="D12" i="51"/>
  <c r="D9" i="49"/>
  <c r="D11" i="50"/>
  <c r="D11" i="51"/>
  <c r="D9" i="50"/>
  <c r="D9" i="51"/>
  <c r="D8" i="51"/>
  <c r="D7" i="51"/>
  <c r="D23" i="54"/>
  <c r="D25" i="54"/>
  <c r="D21" i="54"/>
  <c r="D20" i="52"/>
  <c r="D22" i="52"/>
  <c r="D22" i="53"/>
  <c r="D19" i="12"/>
  <c r="D21" i="12"/>
  <c r="D21" i="49"/>
  <c r="D22" i="49"/>
  <c r="D22" i="48"/>
  <c r="D24" i="48"/>
  <c r="D26" i="48"/>
  <c r="D25" i="47"/>
  <c r="D29" i="47"/>
  <c r="D27" i="47"/>
  <c r="D26" i="46"/>
  <c r="D24" i="46"/>
  <c r="D20" i="44"/>
  <c r="F20" i="44"/>
  <c r="D21" i="44"/>
  <c r="F21" i="44"/>
  <c r="D13" i="39"/>
  <c r="D11" i="39"/>
  <c r="D10" i="39"/>
  <c r="D16" i="39"/>
  <c r="D31" i="39" s="1"/>
  <c r="D8" i="39"/>
  <c r="D9" i="39"/>
  <c r="D7" i="39"/>
  <c r="D26" i="39"/>
  <c r="D14" i="39"/>
  <c r="D15" i="39"/>
  <c r="D12" i="39"/>
  <c r="D30" i="39"/>
  <c r="E33" i="32"/>
  <c r="E36" i="32"/>
  <c r="E32" i="32"/>
  <c r="E35" i="32"/>
  <c r="E34" i="32"/>
  <c r="D32" i="32"/>
  <c r="D35" i="32"/>
  <c r="D34" i="32"/>
  <c r="D38" i="32"/>
  <c r="D33" i="32"/>
  <c r="D36" i="32"/>
  <c r="D26" i="32"/>
  <c r="D28" i="32"/>
  <c r="D27" i="32"/>
  <c r="D22" i="38"/>
  <c r="D9" i="38"/>
  <c r="E36" i="38"/>
  <c r="D12" i="38"/>
  <c r="D13" i="38"/>
  <c r="D15" i="38"/>
  <c r="D16" i="38"/>
  <c r="D10" i="38"/>
  <c r="E41" i="38"/>
  <c r="D14" i="38"/>
  <c r="D17" i="38"/>
  <c r="E43" i="38"/>
  <c r="D11" i="38"/>
  <c r="E48" i="38"/>
  <c r="D7" i="38"/>
  <c r="E49" i="38"/>
  <c r="D21" i="38"/>
  <c r="D51" i="38" s="1"/>
  <c r="D20" i="38"/>
  <c r="D32" i="38"/>
  <c r="D8" i="38"/>
  <c r="D36" i="38"/>
  <c r="D35" i="36"/>
  <c r="D36" i="36"/>
  <c r="D37" i="36"/>
  <c r="D40" i="36"/>
  <c r="D41" i="36"/>
  <c r="D42" i="36"/>
  <c r="D47" i="36"/>
  <c r="D31" i="36"/>
  <c r="D32" i="36"/>
  <c r="D43" i="38"/>
  <c r="D48" i="38"/>
  <c r="D18" i="38"/>
  <c r="D19" i="38"/>
  <c r="D23" i="37"/>
  <c r="D22" i="37"/>
  <c r="E59" i="37" s="1"/>
  <c r="D21" i="37"/>
  <c r="D40" i="37"/>
  <c r="D20" i="37"/>
  <c r="D19" i="37"/>
  <c r="D18" i="37"/>
  <c r="D17" i="37"/>
  <c r="D16" i="37"/>
  <c r="D36" i="37"/>
  <c r="D15" i="37"/>
  <c r="D14" i="37"/>
  <c r="D13" i="37"/>
  <c r="E35" i="37"/>
  <c r="D12" i="37"/>
  <c r="D34" i="37"/>
  <c r="D56" i="37"/>
  <c r="D11" i="37"/>
  <c r="E33" i="37"/>
  <c r="D10" i="37"/>
  <c r="D32" i="37"/>
  <c r="D9" i="37"/>
  <c r="E31" i="37"/>
  <c r="D7" i="37"/>
  <c r="D39" i="37"/>
  <c r="D33" i="37"/>
  <c r="D29" i="22"/>
  <c r="D31" i="22"/>
  <c r="D32" i="22"/>
  <c r="D40" i="22"/>
  <c r="F25" i="22"/>
  <c r="D26" i="22"/>
  <c r="D27" i="22"/>
  <c r="D25" i="22"/>
  <c r="F26" i="22"/>
  <c r="F27" i="22"/>
  <c r="D21" i="35"/>
  <c r="D19" i="35"/>
  <c r="D17" i="35"/>
  <c r="D7" i="9"/>
  <c r="D24" i="9"/>
  <c r="D14" i="9"/>
  <c r="D8" i="9"/>
  <c r="D10" i="9"/>
  <c r="F29" i="9"/>
  <c r="D11" i="9"/>
  <c r="G29" i="9"/>
  <c r="D9" i="9"/>
  <c r="D29" i="9"/>
  <c r="D12" i="9"/>
  <c r="H29" i="9"/>
  <c r="D13" i="9"/>
  <c r="D31" i="9" s="1"/>
  <c r="D32" i="9" s="1"/>
  <c r="H28" i="9"/>
  <c r="D39" i="8"/>
  <c r="D24" i="8"/>
  <c r="D36" i="8"/>
  <c r="D33" i="8"/>
  <c r="D29" i="8"/>
  <c r="E29" i="56"/>
  <c r="G29" i="56"/>
  <c r="G30" i="56"/>
  <c r="G31" i="56" s="1"/>
  <c r="G33" i="56" s="1"/>
  <c r="G37" i="56" s="1"/>
  <c r="F31" i="56"/>
  <c r="F33" i="56"/>
  <c r="F37" i="56"/>
  <c r="D35" i="37"/>
  <c r="D50" i="37"/>
  <c r="D28" i="9"/>
  <c r="E45" i="37"/>
  <c r="D27" i="51"/>
  <c r="D28" i="51"/>
  <c r="D27" i="8"/>
  <c r="D38" i="8" s="1"/>
  <c r="D40" i="8" s="1"/>
  <c r="D28" i="8"/>
  <c r="D25" i="8"/>
  <c r="D38" i="38"/>
  <c r="D10" i="50"/>
  <c r="D10" i="51"/>
  <c r="D58" i="56"/>
  <c r="F71" i="56"/>
  <c r="F72" i="56"/>
  <c r="F73" i="56"/>
  <c r="F75" i="56" s="1"/>
  <c r="F79" i="56" s="1"/>
  <c r="E71" i="56"/>
  <c r="E72" i="56"/>
  <c r="E73" i="56" s="1"/>
  <c r="E75" i="56" s="1"/>
  <c r="E79" i="56" s="1"/>
  <c r="D24" i="39"/>
  <c r="D31" i="50"/>
  <c r="G27" i="9"/>
  <c r="F28" i="9"/>
  <c r="E34" i="37"/>
  <c r="E56" i="37"/>
  <c r="D30" i="8"/>
  <c r="D31" i="8"/>
  <c r="D29" i="32"/>
  <c r="D24" i="53"/>
  <c r="F27" i="9"/>
  <c r="G28" i="9"/>
  <c r="D41" i="22"/>
  <c r="D42" i="22" s="1"/>
  <c r="D31" i="37"/>
  <c r="D49" i="37"/>
  <c r="D41" i="32"/>
  <c r="D42" i="32"/>
  <c r="D34" i="61"/>
  <c r="D38" i="61"/>
  <c r="D37" i="56"/>
  <c r="E92" i="56"/>
  <c r="E93" i="56"/>
  <c r="E94" i="56"/>
  <c r="E96" i="56" s="1"/>
  <c r="E100" i="56" s="1"/>
  <c r="E50" i="56"/>
  <c r="E51" i="56"/>
  <c r="E52" i="56" s="1"/>
  <c r="E54" i="56" s="1"/>
  <c r="E58" i="56" s="1"/>
  <c r="D60" i="56" s="1"/>
  <c r="E95" i="56"/>
  <c r="E53" i="56"/>
  <c r="E29" i="60"/>
  <c r="E32" i="60"/>
  <c r="E33" i="60"/>
  <c r="E34" i="60" s="1"/>
  <c r="E35" i="60" s="1"/>
  <c r="E37" i="60" s="1"/>
  <c r="D31" i="57"/>
  <c r="D26" i="50"/>
  <c r="D25" i="51"/>
  <c r="D44" i="37"/>
  <c r="D45" i="37"/>
  <c r="E36" i="37"/>
  <c r="E46" i="37"/>
  <c r="D33" i="36"/>
  <c r="D57" i="36"/>
  <c r="D37" i="22"/>
  <c r="D38" i="22"/>
  <c r="D23" i="44"/>
  <c r="D30" i="47"/>
  <c r="D31" i="47"/>
  <c r="H27" i="9"/>
  <c r="D27" i="9"/>
  <c r="D27" i="61"/>
  <c r="G92" i="56"/>
  <c r="G93" i="56"/>
  <c r="G94" i="56"/>
  <c r="G96" i="56"/>
  <c r="F92" i="56"/>
  <c r="F93" i="56"/>
  <c r="F94" i="56"/>
  <c r="F96" i="56" s="1"/>
  <c r="F100" i="56" s="1"/>
  <c r="F29" i="60"/>
  <c r="F32" i="60"/>
  <c r="F33" i="60"/>
  <c r="F34" i="60" s="1"/>
  <c r="F35" i="60" s="1"/>
  <c r="F37" i="60" s="1"/>
  <c r="D29" i="60"/>
  <c r="D32" i="60"/>
  <c r="D33" i="60"/>
  <c r="D34" i="60"/>
  <c r="D35" i="60"/>
  <c r="D37" i="60" s="1"/>
  <c r="D34" i="59"/>
  <c r="D24" i="59"/>
  <c r="D30" i="57"/>
  <c r="D24" i="57"/>
  <c r="I21" i="55"/>
  <c r="I23" i="55"/>
  <c r="I25" i="55"/>
  <c r="D38" i="55"/>
  <c r="D38" i="36"/>
  <c r="D45" i="36"/>
  <c r="E42" i="38"/>
  <c r="D43" i="36"/>
  <c r="D46" i="36"/>
  <c r="D46" i="22"/>
  <c r="D34" i="22"/>
  <c r="D35" i="22"/>
  <c r="D28" i="46"/>
  <c r="E28" i="45"/>
  <c r="E29" i="45"/>
  <c r="D37" i="8"/>
  <c r="D41" i="37"/>
  <c r="D66" i="37"/>
  <c r="E32" i="37"/>
  <c r="E44" i="37"/>
  <c r="D31" i="38"/>
  <c r="D33" i="38"/>
  <c r="E38" i="38"/>
  <c r="D23" i="39"/>
  <c r="D46" i="37"/>
  <c r="D51" i="37"/>
  <c r="D30" i="51"/>
  <c r="D31" i="51"/>
  <c r="E44" i="38"/>
  <c r="E47" i="38"/>
  <c r="D39" i="32"/>
  <c r="E37" i="38"/>
  <c r="E50" i="37"/>
  <c r="E49" i="37"/>
  <c r="D49" i="38"/>
  <c r="D41" i="38"/>
  <c r="D37" i="38"/>
  <c r="D42" i="38"/>
  <c r="D19" i="49"/>
  <c r="D32" i="50"/>
  <c r="D34" i="50"/>
  <c r="D27" i="50"/>
  <c r="D22" i="50"/>
  <c r="D28" i="50"/>
  <c r="D29" i="50"/>
  <c r="E30" i="56"/>
  <c r="E31" i="56"/>
  <c r="E33" i="56"/>
  <c r="E37" i="56" s="1"/>
  <c r="D39" i="56" s="1"/>
  <c r="D39" i="38"/>
  <c r="D46" i="38"/>
  <c r="D49" i="36"/>
  <c r="D50" i="36"/>
  <c r="D51" i="36" s="1"/>
  <c r="D53" i="36"/>
  <c r="D60" i="36" s="1"/>
  <c r="D47" i="37"/>
  <c r="D54" i="37"/>
  <c r="D32" i="8"/>
  <c r="D34" i="8" s="1"/>
  <c r="E66" i="37"/>
  <c r="E51" i="37"/>
  <c r="E52" i="37"/>
  <c r="E55" i="37"/>
  <c r="D52" i="37"/>
  <c r="D55" i="37"/>
  <c r="E47" i="37"/>
  <c r="E54" i="37"/>
  <c r="D41" i="61"/>
  <c r="D32" i="57"/>
  <c r="D34" i="57"/>
  <c r="D36" i="57"/>
  <c r="E39" i="38"/>
  <c r="E46" i="38"/>
  <c r="E50" i="38"/>
  <c r="D58" i="38"/>
  <c r="E58" i="38"/>
  <c r="D44" i="38"/>
  <c r="D47" i="38"/>
  <c r="D50" i="38"/>
  <c r="D58" i="37"/>
  <c r="D59" i="37"/>
  <c r="D62" i="37" s="1"/>
  <c r="D60" i="37"/>
  <c r="E58" i="37"/>
  <c r="D58" i="36"/>
  <c r="D59" i="36"/>
  <c r="D24" i="62" l="1"/>
  <c r="G100" i="56"/>
  <c r="D102" i="56" s="1"/>
  <c r="D81" i="56"/>
  <c r="D32" i="39"/>
  <c r="D35" i="39" s="1"/>
  <c r="D34" i="39"/>
  <c r="D27" i="39"/>
  <c r="D28" i="39" s="1"/>
  <c r="D70" i="37"/>
  <c r="D73" i="37"/>
  <c r="D68" i="37"/>
  <c r="D71" i="37"/>
  <c r="D69" i="37"/>
  <c r="D67" i="37"/>
  <c r="D75" i="37" s="1"/>
  <c r="D72" i="37"/>
  <c r="D52" i="38"/>
  <c r="D54" i="38"/>
  <c r="E62" i="37"/>
  <c r="E60" i="37"/>
  <c r="D64" i="36"/>
  <c r="D63" i="36"/>
  <c r="D62" i="36"/>
  <c r="E51" i="38"/>
  <c r="D61" i="36"/>
  <c r="D68" i="36" s="1"/>
  <c r="D43" i="22"/>
  <c r="F44" i="22" s="1"/>
  <c r="D34" i="9"/>
  <c r="D35" i="9" s="1"/>
  <c r="D39" i="39" l="1"/>
  <c r="D40" i="39" s="1"/>
  <c r="D61" i="38"/>
  <c r="D64" i="38"/>
  <c r="D63" i="38"/>
  <c r="D62" i="38"/>
  <c r="D65" i="38"/>
  <c r="D59" i="38"/>
  <c r="D60" i="38"/>
  <c r="E54" i="38"/>
  <c r="E52" i="38"/>
  <c r="D66" i="36"/>
  <c r="D67" i="36"/>
  <c r="E73" i="37"/>
  <c r="E68" i="37"/>
  <c r="E67" i="37"/>
  <c r="E70" i="37"/>
  <c r="E69" i="37"/>
  <c r="E71" i="37"/>
  <c r="E72" i="37"/>
  <c r="E75" i="37" l="1"/>
  <c r="D67" i="38"/>
  <c r="D68" i="38" s="1"/>
  <c r="E64" i="38"/>
  <c r="E61" i="38"/>
  <c r="E65" i="38"/>
  <c r="E60" i="38"/>
  <c r="E59" i="38"/>
  <c r="E62" i="38"/>
  <c r="E63" i="38"/>
  <c r="E67" i="38" l="1"/>
  <c r="E69" i="38" s="1"/>
</calcChain>
</file>

<file path=xl/sharedStrings.xml><?xml version="1.0" encoding="utf-8"?>
<sst xmlns="http://schemas.openxmlformats.org/spreadsheetml/2006/main" count="832" uniqueCount="363">
  <si>
    <t>Question 1</t>
  </si>
  <si>
    <t>Input area:</t>
  </si>
  <si>
    <t>Output area:</t>
  </si>
  <si>
    <t>Question 2</t>
  </si>
  <si>
    <t>Question 3</t>
  </si>
  <si>
    <t>Fixed cost</t>
  </si>
  <si>
    <t>Depreciation</t>
  </si>
  <si>
    <t>Tax rate</t>
  </si>
  <si>
    <t>Question 4</t>
  </si>
  <si>
    <t>OCF</t>
  </si>
  <si>
    <t>Question 5</t>
  </si>
  <si>
    <t>Question 7</t>
  </si>
  <si>
    <t>Question 6</t>
  </si>
  <si>
    <t>Question 8</t>
  </si>
  <si>
    <t>Question 9</t>
  </si>
  <si>
    <t>Question 10</t>
  </si>
  <si>
    <t>Question 11</t>
  </si>
  <si>
    <t>Required return</t>
  </si>
  <si>
    <t>NPV</t>
  </si>
  <si>
    <t>Question 12</t>
  </si>
  <si>
    <t>Question 13</t>
  </si>
  <si>
    <t>Aftertax salvage value</t>
  </si>
  <si>
    <t>Initial investment</t>
  </si>
  <si>
    <t>Question 16</t>
  </si>
  <si>
    <t>Life</t>
  </si>
  <si>
    <t>Salvage value</t>
  </si>
  <si>
    <t>Question 19</t>
  </si>
  <si>
    <t>Question 20</t>
  </si>
  <si>
    <t>Question 23</t>
  </si>
  <si>
    <t>IRR</t>
  </si>
  <si>
    <t>Input boxes in tan</t>
  </si>
  <si>
    <t>Output boxes in yellow</t>
  </si>
  <si>
    <t>Given data in blue</t>
  </si>
  <si>
    <t>Calculations in red</t>
  </si>
  <si>
    <t>Answers in green</t>
  </si>
  <si>
    <t>Taxes</t>
  </si>
  <si>
    <t>Variable costs</t>
  </si>
  <si>
    <t>Fixed costs</t>
  </si>
  <si>
    <t>Quantity</t>
  </si>
  <si>
    <t>Net working capital</t>
  </si>
  <si>
    <t>Initial cash outlay</t>
  </si>
  <si>
    <t>Question 24</t>
  </si>
  <si>
    <t>Variable cost per unit</t>
  </si>
  <si>
    <t>Unit price</t>
  </si>
  <si>
    <t>EBIT</t>
  </si>
  <si>
    <t>Net income</t>
  </si>
  <si>
    <t>Question 25</t>
  </si>
  <si>
    <t>Question 26</t>
  </si>
  <si>
    <t>a.</t>
  </si>
  <si>
    <t>b.</t>
  </si>
  <si>
    <t>c.</t>
  </si>
  <si>
    <t>Question 27</t>
  </si>
  <si>
    <t>Sales price</t>
  </si>
  <si>
    <t>Price/unit</t>
  </si>
  <si>
    <t>Variable cost/unit</t>
  </si>
  <si>
    <t>Scenario</t>
  </si>
  <si>
    <t>Base case</t>
  </si>
  <si>
    <t>Best case</t>
  </si>
  <si>
    <t>Worst case</t>
  </si>
  <si>
    <t>Unit sales</t>
  </si>
  <si>
    <t>Unit variable cost</t>
  </si>
  <si>
    <t>Initial cost</t>
  </si>
  <si>
    <t>Project life</t>
  </si>
  <si>
    <t>Units sales</t>
  </si>
  <si>
    <t>Price per unit</t>
  </si>
  <si>
    <t>Depreciation per year</t>
  </si>
  <si>
    <t>New quantity for calculation</t>
  </si>
  <si>
    <t>New VC for calculation</t>
  </si>
  <si>
    <t>Base OCF</t>
  </si>
  <si>
    <t>Base NPV</t>
  </si>
  <si>
    <t>New quantity</t>
  </si>
  <si>
    <r>
      <t>D</t>
    </r>
    <r>
      <rPr>
        <sz val="12"/>
        <color indexed="8"/>
        <rFont val="Arial"/>
        <family val="2"/>
      </rPr>
      <t>NPV/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Q</t>
    </r>
  </si>
  <si>
    <t xml:space="preserve">For a sales change of </t>
  </si>
  <si>
    <t>the NPV would change</t>
  </si>
  <si>
    <t>New variable cost</t>
  </si>
  <si>
    <t>Projected sales change</t>
  </si>
  <si>
    <t>Projected VC change</t>
  </si>
  <si>
    <r>
      <t>D</t>
    </r>
    <r>
      <rPr>
        <sz val="12"/>
        <color indexed="8"/>
        <rFont val="Arial"/>
        <family val="2"/>
      </rPr>
      <t>OCF/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VC</t>
    </r>
  </si>
  <si>
    <t>If variable costs change by</t>
  </si>
  <si>
    <t>then OCF would change by</t>
  </si>
  <si>
    <t>Price uncertainty</t>
  </si>
  <si>
    <t>Quantity uncertainty</t>
  </si>
  <si>
    <t>Variable cost uncertainty</t>
  </si>
  <si>
    <t>Fixed cost uncertainty</t>
  </si>
  <si>
    <t>Annual depreciation</t>
  </si>
  <si>
    <t>Best-case OCF</t>
  </si>
  <si>
    <t>Best-case NPV</t>
  </si>
  <si>
    <t>Worst-case OCF</t>
  </si>
  <si>
    <t>Worst-case NPV</t>
  </si>
  <si>
    <t>?</t>
  </si>
  <si>
    <t>Price</t>
  </si>
  <si>
    <t>Units sold</t>
  </si>
  <si>
    <t>OCF at</t>
  </si>
  <si>
    <t>IRR = 0%</t>
  </si>
  <si>
    <t>NPV = 0</t>
  </si>
  <si>
    <r>
      <t>D</t>
    </r>
    <r>
      <rPr>
        <sz val="12"/>
        <color indexed="8"/>
        <rFont val="Arial"/>
        <family val="2"/>
      </rPr>
      <t>OCF/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Q</t>
    </r>
  </si>
  <si>
    <t>Unit sales uncertainty</t>
  </si>
  <si>
    <t>New fixed costs</t>
  </si>
  <si>
    <t>Upper bound</t>
  </si>
  <si>
    <t>Lower bound</t>
  </si>
  <si>
    <t>Best case OCF</t>
  </si>
  <si>
    <t>Base case OCF</t>
  </si>
  <si>
    <t>Base case NPV</t>
  </si>
  <si>
    <t>Worst case OCF</t>
  </si>
  <si>
    <t>Worst case NPV</t>
  </si>
  <si>
    <t xml:space="preserve">OCF with fixed costs = </t>
  </si>
  <si>
    <r>
      <t>D</t>
    </r>
    <r>
      <rPr>
        <sz val="12"/>
        <color indexed="8"/>
        <rFont val="Arial"/>
        <family val="2"/>
      </rPr>
      <t>NPV/</t>
    </r>
    <r>
      <rPr>
        <sz val="12"/>
        <color indexed="8"/>
        <rFont val="Symbol"/>
        <family val="1"/>
        <charset val="2"/>
      </rPr>
      <t>D</t>
    </r>
    <r>
      <rPr>
        <sz val="12"/>
        <color indexed="8"/>
        <rFont val="Arial"/>
        <family val="2"/>
      </rPr>
      <t>FC</t>
    </r>
  </si>
  <si>
    <t>For every dollar FC increase, NPV changes by:</t>
  </si>
  <si>
    <t>Project cost</t>
  </si>
  <si>
    <t>Lost high price units lost</t>
  </si>
  <si>
    <t>High price club's price</t>
  </si>
  <si>
    <t>High price club's VC</t>
  </si>
  <si>
    <t>Cheap club units gained</t>
  </si>
  <si>
    <t>Cheap club's price</t>
  </si>
  <si>
    <t>Cheap club's VC</t>
  </si>
  <si>
    <t>Marketing study</t>
  </si>
  <si>
    <t>Sunk cost</t>
  </si>
  <si>
    <t>R&amp;D</t>
  </si>
  <si>
    <t>Cost of capital</t>
  </si>
  <si>
    <t>Plant &amp; Equipment</t>
  </si>
  <si>
    <t>NWC</t>
  </si>
  <si>
    <t>Total</t>
  </si>
  <si>
    <t>New club sales</t>
  </si>
  <si>
    <t>High-priced sales lost</t>
  </si>
  <si>
    <t>Cheap sales gained</t>
  </si>
  <si>
    <t>Total sales</t>
  </si>
  <si>
    <t>New club VC</t>
  </si>
  <si>
    <t>High-priced VC saved</t>
  </si>
  <si>
    <t>Cheap club VC</t>
  </si>
  <si>
    <t>Total VC</t>
  </si>
  <si>
    <t>Total Sales</t>
  </si>
  <si>
    <t>Cash flows</t>
  </si>
  <si>
    <t>t</t>
  </si>
  <si>
    <t>Cash Flow</t>
  </si>
  <si>
    <t>Payback period</t>
  </si>
  <si>
    <t>Uncertainty</t>
  </si>
  <si>
    <t>Worst Case</t>
  </si>
  <si>
    <t>Unit sales (new clubs)</t>
  </si>
  <si>
    <t>Price (new clubs)</t>
  </si>
  <si>
    <t>VC (new clubs)</t>
  </si>
  <si>
    <t>Sales lost (high-priced)</t>
  </si>
  <si>
    <t>Sales gained (cheap)</t>
  </si>
  <si>
    <t>New price</t>
  </si>
  <si>
    <r>
      <t>D</t>
    </r>
    <r>
      <rPr>
        <u/>
        <sz val="12"/>
        <rFont val="Arial"/>
        <family val="2"/>
      </rPr>
      <t>Price</t>
    </r>
  </si>
  <si>
    <r>
      <t>D</t>
    </r>
    <r>
      <rPr>
        <u/>
        <sz val="12"/>
        <rFont val="Arial"/>
        <family val="2"/>
      </rPr>
      <t>Quantity</t>
    </r>
  </si>
  <si>
    <r>
      <t>D</t>
    </r>
    <r>
      <rPr>
        <sz val="12"/>
        <rFont val="Arial"/>
        <family val="2"/>
      </rPr>
      <t>NPV/</t>
    </r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P</t>
    </r>
  </si>
  <si>
    <r>
      <t>D</t>
    </r>
    <r>
      <rPr>
        <sz val="12"/>
        <rFont val="Arial"/>
        <family val="2"/>
      </rPr>
      <t>NPV/</t>
    </r>
    <r>
      <rPr>
        <sz val="12"/>
        <rFont val="Symbol"/>
        <family val="1"/>
        <charset val="2"/>
      </rPr>
      <t>D</t>
    </r>
    <r>
      <rPr>
        <sz val="12"/>
        <rFont val="Arial"/>
        <family val="2"/>
      </rPr>
      <t>Q</t>
    </r>
  </si>
  <si>
    <t>Selling price</t>
  </si>
  <si>
    <t>Initial cost uncertainty</t>
  </si>
  <si>
    <t>Salvage value uncertainty</t>
  </si>
  <si>
    <t>NWC uncertainty</t>
  </si>
  <si>
    <t>Best case NPV</t>
  </si>
  <si>
    <r>
      <t>D</t>
    </r>
    <r>
      <rPr>
        <sz val="12"/>
        <color indexed="8"/>
        <rFont val="Arial"/>
        <family val="2"/>
      </rPr>
      <t>Q</t>
    </r>
  </si>
  <si>
    <t>Minimum Q</t>
  </si>
  <si>
    <t>NPV = 0.</t>
  </si>
  <si>
    <t>You wouldn't want Q to fall below the point where</t>
  </si>
  <si>
    <t>Question 28</t>
  </si>
  <si>
    <t>Initial fixed assets</t>
  </si>
  <si>
    <t>Quantity sold</t>
  </si>
  <si>
    <t>Change in quantity</t>
  </si>
  <si>
    <t>units</t>
  </si>
  <si>
    <t>High price units lost</t>
  </si>
  <si>
    <t>Input Area:</t>
  </si>
  <si>
    <t>New machine cash flow</t>
  </si>
  <si>
    <t>Pirce decline/year</t>
  </si>
  <si>
    <t>Lowest price</t>
  </si>
  <si>
    <t>Technology life</t>
  </si>
  <si>
    <t>Output Area:</t>
  </si>
  <si>
    <t>Purchase in year:</t>
  </si>
  <si>
    <t xml:space="preserve">You should purchase when the NPV is the </t>
  </si>
  <si>
    <t xml:space="preserve">highest, which is </t>
  </si>
  <si>
    <t>Go to market now:</t>
  </si>
  <si>
    <t>Payoff if successful</t>
  </si>
  <si>
    <t>Payoff if not successful</t>
  </si>
  <si>
    <t>Probability of success</t>
  </si>
  <si>
    <t>Probability of failure</t>
  </si>
  <si>
    <t>Test market first:</t>
  </si>
  <si>
    <t>Discount rate</t>
  </si>
  <si>
    <t>Cost of test marketing</t>
  </si>
  <si>
    <t>NPV of going to market now</t>
  </si>
  <si>
    <t>NPV of test marketing</t>
  </si>
  <si>
    <t>The company should</t>
  </si>
  <si>
    <t>since this option has the highest NPV.</t>
  </si>
  <si>
    <t>NPV if successful</t>
  </si>
  <si>
    <t>NVP if unsuccessful</t>
  </si>
  <si>
    <t>Focus group:</t>
  </si>
  <si>
    <t xml:space="preserve">Cost </t>
  </si>
  <si>
    <t>NPV of focus group</t>
  </si>
  <si>
    <t>Consulting firm:</t>
  </si>
  <si>
    <t>NPV of consulting firm</t>
  </si>
  <si>
    <t>Market research:</t>
  </si>
  <si>
    <t>Disocount rate</t>
  </si>
  <si>
    <t>NPV of market research</t>
  </si>
  <si>
    <t>Question 14</t>
  </si>
  <si>
    <t>Question 15</t>
  </si>
  <si>
    <t>Units sold per year</t>
  </si>
  <si>
    <t>Net cash flow per unit</t>
  </si>
  <si>
    <t>Annual operating cash flow</t>
  </si>
  <si>
    <t>Life time</t>
  </si>
  <si>
    <t>Abandonment value</t>
  </si>
  <si>
    <t>Q</t>
  </si>
  <si>
    <t xml:space="preserve">Abandon the project if Q &lt; </t>
  </si>
  <si>
    <t>because NPV(abandonment) &gt;</t>
  </si>
  <si>
    <t xml:space="preserve"> NPV(project CF's)</t>
  </si>
  <si>
    <t>The abandonment value is the market value of</t>
  </si>
  <si>
    <t xml:space="preserve">the project. If you continue with the project in </t>
  </si>
  <si>
    <t xml:space="preserve">one year, you forego this cash that could </t>
  </si>
  <si>
    <t>have been used for something else.</t>
  </si>
  <si>
    <t>Units per year if successful</t>
  </si>
  <si>
    <t>Units per year if unsuccessful</t>
  </si>
  <si>
    <t>Successful operating cash flow</t>
  </si>
  <si>
    <t>Initial operating cash flow</t>
  </si>
  <si>
    <t>Success:</t>
  </si>
  <si>
    <t>PV future CF's</t>
  </si>
  <si>
    <t xml:space="preserve">Failure: (Calculation assumes that if the </t>
  </si>
  <si>
    <t>project is unsuccessful it will be abandoned.)</t>
  </si>
  <si>
    <t xml:space="preserve">so you will abandon, PV = </t>
  </si>
  <si>
    <t>Year 1 expected value</t>
  </si>
  <si>
    <t>No abandonment, PV future CF's</t>
  </si>
  <si>
    <t>Gain from option to abandonment</t>
  </si>
  <si>
    <t>Option is 50% likely to occur:</t>
  </si>
  <si>
    <t xml:space="preserve">Value = </t>
  </si>
  <si>
    <t>Question 17</t>
  </si>
  <si>
    <t>Projected sales after expansion</t>
  </si>
  <si>
    <t>Success: PV future CF's</t>
  </si>
  <si>
    <t xml:space="preserve">abandon the project, PV = </t>
  </si>
  <si>
    <t>Gain from option to expand, PV future CF's</t>
  </si>
  <si>
    <t>Option is 50% likely to happen</t>
  </si>
  <si>
    <t>Present value of option CF's</t>
  </si>
  <si>
    <t>Question 18</t>
  </si>
  <si>
    <t>Machine cost</t>
  </si>
  <si>
    <t>Life of machine</t>
  </si>
  <si>
    <t>EAC</t>
  </si>
  <si>
    <t xml:space="preserve">From #17, Q &lt; </t>
  </si>
  <si>
    <t>Life of project</t>
  </si>
  <si>
    <t>Cost of press</t>
  </si>
  <si>
    <t>License fee</t>
  </si>
  <si>
    <t>Question 21</t>
  </si>
  <si>
    <t>Cash offered today</t>
  </si>
  <si>
    <t>Probability script is bad</t>
  </si>
  <si>
    <t xml:space="preserve">  and is not made into a movie</t>
  </si>
  <si>
    <t>Probability a movie is made</t>
  </si>
  <si>
    <t xml:space="preserve">  and the movie is bad</t>
  </si>
  <si>
    <t>Percentage of profits offered</t>
  </si>
  <si>
    <t>Read script</t>
  </si>
  <si>
    <t>Script is good</t>
  </si>
  <si>
    <t>Script is bad</t>
  </si>
  <si>
    <t>Make movie</t>
  </si>
  <si>
    <t>Don't make movie</t>
  </si>
  <si>
    <t>No profit</t>
  </si>
  <si>
    <t>Movie is good</t>
  </si>
  <si>
    <t>Movie is bad</t>
  </si>
  <si>
    <t>Big audience</t>
  </si>
  <si>
    <t>Small audience</t>
  </si>
  <si>
    <t>Value if movie is good and there is a big audience</t>
  </si>
  <si>
    <t>Value if movie is good, there is a big audience, and the script is good</t>
  </si>
  <si>
    <t>Percentage of profits if movie is good, there is a big audience, and the script is good</t>
  </si>
  <si>
    <t>The screenwriter should take</t>
  </si>
  <si>
    <t>Pre-tax revenue</t>
  </si>
  <si>
    <t>Pre-tax operating costs</t>
  </si>
  <si>
    <t># of years</t>
  </si>
  <si>
    <t>Year 1</t>
  </si>
  <si>
    <t>Year 2</t>
  </si>
  <si>
    <t>Year 3</t>
  </si>
  <si>
    <t>Year 4</t>
  </si>
  <si>
    <t>Assuming the project lasts four years, the NPV is calculated as follows:</t>
  </si>
  <si>
    <t>Year</t>
  </si>
  <si>
    <t>Sales</t>
  </si>
  <si>
    <t>Operating costs</t>
  </si>
  <si>
    <t>EBT</t>
  </si>
  <si>
    <t>Tax</t>
  </si>
  <si>
    <t>+Depreciation</t>
  </si>
  <si>
    <t>Operating CF</t>
  </si>
  <si>
    <t>Change in NWC</t>
  </si>
  <si>
    <t>Capital spending</t>
  </si>
  <si>
    <t>Total cash flow</t>
  </si>
  <si>
    <t>Net present value</t>
  </si>
  <si>
    <t>Abandoned after one year:</t>
  </si>
  <si>
    <t>Abandoned after two years:</t>
  </si>
  <si>
    <t>Abandoned after three years:</t>
  </si>
  <si>
    <t>Question 22</t>
  </si>
  <si>
    <t>Annual OCF</t>
  </si>
  <si>
    <t>Minimum cash flow</t>
  </si>
  <si>
    <t>Aftertax salvage value in Year 1</t>
  </si>
  <si>
    <t>Cash flow per unit</t>
  </si>
  <si>
    <t>Machine</t>
  </si>
  <si>
    <t>Cash flow per year</t>
  </si>
  <si>
    <t>In one year:</t>
  </si>
  <si>
    <t>New units sold</t>
  </si>
  <si>
    <t>Probability of increased sales</t>
  </si>
  <si>
    <t>New cash flow per year</t>
  </si>
  <si>
    <t>Value of expansion CF today</t>
  </si>
  <si>
    <t>Value of abandonment today</t>
  </si>
  <si>
    <t>Value of 1st year sales today</t>
  </si>
  <si>
    <t>New NPV</t>
  </si>
  <si>
    <t>Market size</t>
  </si>
  <si>
    <t>Market share</t>
  </si>
  <si>
    <t>Variable costs per year</t>
  </si>
  <si>
    <t>Fixed costs per year</t>
  </si>
  <si>
    <t>Pessimistic</t>
  </si>
  <si>
    <t>Expected</t>
  </si>
  <si>
    <t>Optimistic</t>
  </si>
  <si>
    <t>Units per year</t>
  </si>
  <si>
    <t>Revenue</t>
  </si>
  <si>
    <t>Question 29</t>
  </si>
  <si>
    <t>Upward sales revision</t>
  </si>
  <si>
    <t>Downward sales revision</t>
  </si>
  <si>
    <t>PV of downward revision CF</t>
  </si>
  <si>
    <t>Maximum value of downward</t>
  </si>
  <si>
    <t>sales revision or abandonment</t>
  </si>
  <si>
    <t>If the sales are revised downward, the company would</t>
  </si>
  <si>
    <t>since the present value of the cash flows from this</t>
  </si>
  <si>
    <t>option are greater.</t>
  </si>
  <si>
    <t>PV of upward revision</t>
  </si>
  <si>
    <t>Revised NPV</t>
  </si>
  <si>
    <t>PV of year 1 expected cash flow</t>
  </si>
  <si>
    <t>Question 30</t>
  </si>
  <si>
    <t>Saved pretax operating expense</t>
  </si>
  <si>
    <t>Age of old harvester</t>
  </si>
  <si>
    <t>Purchase price of old harvester</t>
  </si>
  <si>
    <t>Salvage value of old harvester</t>
  </si>
  <si>
    <t>Depreciation (old)</t>
  </si>
  <si>
    <t>Book value (old)</t>
  </si>
  <si>
    <t>Aftertax salvage value (old)</t>
  </si>
  <si>
    <t>Aftertax PV of savings</t>
  </si>
  <si>
    <t>Purchase price</t>
  </si>
  <si>
    <t>Problems 1-30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</si>
  <si>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</si>
  <si>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</si>
  <si>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</si>
  <si>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</si>
  <si>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when purchased in</t>
  </si>
  <si>
    <t>Chapter 7</t>
  </si>
  <si>
    <t>Equipment</t>
  </si>
  <si>
    <t>Profit if movie is good</t>
  </si>
  <si>
    <t>Gold left in mine (ounces)</t>
  </si>
  <si>
    <t>Ounces mined per year</t>
  </si>
  <si>
    <t>Opening costs</t>
  </si>
  <si>
    <t>Contract price today</t>
  </si>
  <si>
    <t>Probability of price increase</t>
  </si>
  <si>
    <t>Price increase</t>
  </si>
  <si>
    <t>Probability of price decrease</t>
  </si>
  <si>
    <t>Price decrease</t>
  </si>
  <si>
    <t>Life of mine (years)</t>
  </si>
  <si>
    <t>CF from opening today</t>
  </si>
  <si>
    <t>NPV if opened today</t>
  </si>
  <si>
    <t>Value in one year:</t>
  </si>
  <si>
    <t>Price increase CF</t>
  </si>
  <si>
    <t>Price decrease CF</t>
  </si>
  <si>
    <t>NPV in one year for waiting</t>
  </si>
  <si>
    <t>NPV today for waiting</t>
  </si>
  <si>
    <t>Option value</t>
  </si>
  <si>
    <t>Value of downward revision</t>
  </si>
  <si>
    <t>Expected value today of downward</t>
  </si>
  <si>
    <t xml:space="preserve">    revision</t>
  </si>
  <si>
    <r>
      <t xml:space="preserve">NPV = </t>
    </r>
    <r>
      <rPr>
        <i/>
        <sz val="12"/>
        <rFont val="Arial"/>
        <family val="2"/>
      </rPr>
      <t>I</t>
    </r>
    <r>
      <rPr>
        <sz val="12"/>
        <rFont val="Arial"/>
        <family val="2"/>
      </rPr>
      <t>[(</t>
    </r>
    <r>
      <rPr>
        <i/>
        <sz val="12"/>
        <rFont val="Arial"/>
        <family val="2"/>
      </rPr>
      <t>I</t>
    </r>
    <r>
      <rPr>
        <sz val="12"/>
        <rFont val="Arial"/>
        <family val="2"/>
      </rPr>
      <t>/N)(PVIFA</t>
    </r>
    <r>
      <rPr>
        <i/>
        <vertAlign val="subscript"/>
        <sz val="12"/>
        <rFont val="Arial"/>
        <family val="2"/>
      </rPr>
      <t>R</t>
    </r>
    <r>
      <rPr>
        <vertAlign val="subscript"/>
        <sz val="12"/>
        <rFont val="Arial"/>
        <family val="2"/>
      </rPr>
      <t>%,</t>
    </r>
    <r>
      <rPr>
        <i/>
        <vertAlign val="subscript"/>
        <sz val="12"/>
        <rFont val="Arial"/>
        <family val="2"/>
      </rPr>
      <t>N</t>
    </r>
    <r>
      <rPr>
        <sz val="12"/>
        <rFont val="Arial"/>
        <family val="2"/>
      </rPr>
      <t>) - 1]</t>
    </r>
  </si>
  <si>
    <r>
      <t xml:space="preserve">payback = </t>
    </r>
    <r>
      <rPr>
        <i/>
        <sz val="12"/>
        <rFont val="Arial"/>
        <family val="2"/>
      </rPr>
      <t>N</t>
    </r>
    <r>
      <rPr>
        <sz val="12"/>
        <rFont val="Arial"/>
        <family val="2"/>
      </rPr>
      <t xml:space="preserve"> years</t>
    </r>
  </si>
  <si>
    <r>
      <t xml:space="preserve">payback &lt; </t>
    </r>
    <r>
      <rPr>
        <i/>
        <sz val="12"/>
        <rFont val="Arial"/>
        <family val="2"/>
      </rPr>
      <t>N</t>
    </r>
    <r>
      <rPr>
        <sz val="12"/>
        <rFont val="Arial"/>
        <family val="2"/>
      </rPr>
      <t xml:space="preserve"> years</t>
    </r>
  </si>
  <si>
    <r>
      <t xml:space="preserve">IRR =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>%</t>
    </r>
  </si>
  <si>
    <t>Book value</t>
  </si>
  <si>
    <t>Accounting break-even</t>
  </si>
  <si>
    <t>Financial break-even</t>
  </si>
  <si>
    <t>Porject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</si>
</sst>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"/>
    <numFmt numFmtId="166" formatCode="_(&quot;$&quot;* #,##0_);_(&quot;$&quot;* \(#,##0\);_(&quot;$&quot;* &quot;-&quot;??_);_(@_)"/>
    <numFmt numFmtId="167" formatCode="_(* #,##0.00_);_(* \(#,##0.00\);_(* &quot;-&quot;_);_(@_)"/>
    <numFmt numFmtId="168" formatCode="_(* #,##0.000_);_(* \(#,##0.000\);_(* &quot;-&quot;???_);_(@_)"/>
    <numFmt numFmtId="169" formatCode="_(&quot;$&quot;* #,##0.000_);_(&quot;$&quot;* \(#,##0.000\);_(&quot;$&quot;* &quot;-&quot;??_);_(@_)"/>
    <numFmt numFmtId="170" formatCode="_(&quot;$&quot;* #,##0.00_);_(&quot;$&quot;* \(#,##0.00\);_(&quot;$&quot;* &quot;-&quot;_);_(@_)"/>
    <numFmt numFmtId="171" formatCode="_(&quot;$&quot;* #,##0.000_);_(&quot;$&quot;* \(#,##0.000\);_(&quot;$&quot;* &quot;-&quot;_);_(@_)"/>
    <numFmt numFmtId="172" formatCode="_(* #,##0_);_(* \(#,##0\);_(* &quot;-&quot;??_);_(@_)"/>
    <numFmt numFmtId="173" formatCode="\:"/>
  </numFmts>
  <fonts count="4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50"/>
      <name val="Arial"/>
      <family val="2"/>
    </font>
    <font>
      <sz val="10"/>
      <color indexed="8"/>
      <name val="Arial"/>
      <family val="2"/>
    </font>
    <font>
      <sz val="12"/>
      <color indexed="57"/>
      <name val="Arial"/>
      <family val="2"/>
    </font>
    <font>
      <b/>
      <sz val="12"/>
      <color indexed="57"/>
      <name val="Arial"/>
      <family val="2"/>
    </font>
    <font>
      <b/>
      <sz val="10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u/>
      <sz val="12"/>
      <color indexed="8"/>
      <name val="Arial"/>
      <family val="2"/>
    </font>
    <font>
      <u/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u/>
      <sz val="12"/>
      <name val="Arial"/>
      <family val="2"/>
    </font>
    <font>
      <sz val="12"/>
      <color indexed="8"/>
      <name val="Symbol"/>
      <family val="1"/>
      <charset val="2"/>
    </font>
    <font>
      <vertAlign val="subscript"/>
      <sz val="12"/>
      <name val="Arial"/>
      <family val="2"/>
    </font>
    <font>
      <u val="singleAccounting"/>
      <sz val="12"/>
      <name val="Arial"/>
      <family val="2"/>
    </font>
    <font>
      <i/>
      <u/>
      <sz val="12"/>
      <name val="Arial"/>
      <family val="2"/>
    </font>
    <font>
      <u/>
      <sz val="12"/>
      <name val="Symbol"/>
      <family val="1"/>
      <charset val="2"/>
    </font>
    <font>
      <sz val="12"/>
      <name val="Symbol"/>
      <family val="1"/>
      <charset val="2"/>
    </font>
    <font>
      <sz val="8"/>
      <name val="Arial"/>
      <family val="2"/>
    </font>
    <font>
      <sz val="12"/>
      <color indexed="43"/>
      <name val="Arial"/>
      <family val="2"/>
    </font>
    <font>
      <sz val="12"/>
      <name val="Arial"/>
      <family val="2"/>
    </font>
    <font>
      <i/>
      <u val="singleAccounting"/>
      <sz val="12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  <font>
      <i/>
      <vertAlign val="sub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7" fillId="2" borderId="0" xfId="0" applyFont="1" applyFill="1" applyBorder="1"/>
    <xf numFmtId="0" fontId="0" fillId="0" borderId="0" xfId="0" applyFill="1" applyBorder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7" fillId="3" borderId="0" xfId="0" applyFont="1" applyFill="1" applyBorder="1"/>
    <xf numFmtId="0" fontId="9" fillId="3" borderId="0" xfId="0" applyFont="1" applyFill="1" applyBorder="1"/>
    <xf numFmtId="0" fontId="9" fillId="3" borderId="5" xfId="0" applyFont="1" applyFill="1" applyBorder="1"/>
    <xf numFmtId="0" fontId="7" fillId="3" borderId="5" xfId="0" applyFont="1" applyFill="1" applyBorder="1"/>
    <xf numFmtId="6" fontId="7" fillId="3" borderId="0" xfId="0" applyNumberFormat="1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9" fillId="0" borderId="0" xfId="0" applyFont="1"/>
    <xf numFmtId="0" fontId="0" fillId="3" borderId="6" xfId="0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8" fillId="3" borderId="5" xfId="0" applyFont="1" applyFill="1" applyBorder="1"/>
    <xf numFmtId="8" fontId="7" fillId="3" borderId="0" xfId="0" applyNumberFormat="1" applyFont="1" applyFill="1" applyBorder="1"/>
    <xf numFmtId="8" fontId="7" fillId="0" borderId="0" xfId="0" applyNumberFormat="1" applyFont="1" applyFill="1" applyBorder="1"/>
    <xf numFmtId="6" fontId="7" fillId="0" borderId="0" xfId="0" applyNumberFormat="1" applyFont="1" applyFill="1" applyBorder="1"/>
    <xf numFmtId="165" fontId="10" fillId="0" borderId="0" xfId="0" applyNumberFormat="1" applyFont="1" applyFill="1" applyBorder="1"/>
    <xf numFmtId="0" fontId="8" fillId="0" borderId="0" xfId="0" applyFont="1" applyFill="1" applyBorder="1"/>
    <xf numFmtId="6" fontId="7" fillId="3" borderId="7" xfId="0" applyNumberFormat="1" applyFont="1" applyFill="1" applyBorder="1"/>
    <xf numFmtId="0" fontId="8" fillId="3" borderId="8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4" fillId="2" borderId="8" xfId="0" applyFont="1" applyFill="1" applyBorder="1"/>
    <xf numFmtId="0" fontId="4" fillId="2" borderId="5" xfId="0" applyFont="1" applyFill="1" applyBorder="1" applyAlignment="1">
      <alignment horizontal="center"/>
    </xf>
    <xf numFmtId="8" fontId="7" fillId="3" borderId="8" xfId="0" applyNumberFormat="1" applyFont="1" applyFill="1" applyBorder="1"/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/>
    <xf numFmtId="0" fontId="4" fillId="0" borderId="0" xfId="0" applyFont="1" applyFill="1" applyBorder="1"/>
    <xf numFmtId="0" fontId="7" fillId="3" borderId="8" xfId="0" applyFont="1" applyFill="1" applyBorder="1"/>
    <xf numFmtId="0" fontId="7" fillId="3" borderId="7" xfId="0" applyFont="1" applyFill="1" applyBorder="1"/>
    <xf numFmtId="8" fontId="7" fillId="3" borderId="7" xfId="0" applyNumberFormat="1" applyFont="1" applyFill="1" applyBorder="1"/>
    <xf numFmtId="10" fontId="0" fillId="0" borderId="0" xfId="0" applyNumberFormat="1"/>
    <xf numFmtId="0" fontId="5" fillId="0" borderId="0" xfId="0" applyFont="1" applyFill="1" applyBorder="1"/>
    <xf numFmtId="0" fontId="0" fillId="2" borderId="7" xfId="0" applyFill="1" applyBorder="1"/>
    <xf numFmtId="0" fontId="4" fillId="3" borderId="0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4" xfId="0" applyFont="1" applyFill="1" applyBorder="1"/>
    <xf numFmtId="0" fontId="7" fillId="3" borderId="6" xfId="0" applyFont="1" applyFill="1" applyBorder="1"/>
    <xf numFmtId="0" fontId="4" fillId="3" borderId="3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42" fontId="13" fillId="3" borderId="0" xfId="0" applyNumberFormat="1" applyFont="1" applyFill="1" applyBorder="1"/>
    <xf numFmtId="41" fontId="13" fillId="3" borderId="0" xfId="0" applyNumberFormat="1" applyFont="1" applyFill="1" applyBorder="1"/>
    <xf numFmtId="42" fontId="11" fillId="3" borderId="9" xfId="0" applyNumberFormat="1" applyFont="1" applyFill="1" applyBorder="1"/>
    <xf numFmtId="9" fontId="14" fillId="2" borderId="0" xfId="0" applyNumberFormat="1" applyFont="1" applyFill="1" applyBorder="1"/>
    <xf numFmtId="42" fontId="14" fillId="2" borderId="0" xfId="0" applyNumberFormat="1" applyFont="1" applyFill="1" applyBorder="1"/>
    <xf numFmtId="44" fontId="13" fillId="3" borderId="0" xfId="0" applyNumberFormat="1" applyFont="1" applyFill="1" applyBorder="1"/>
    <xf numFmtId="43" fontId="11" fillId="3" borderId="0" xfId="0" applyNumberFormat="1" applyFont="1" applyFill="1" applyBorder="1"/>
    <xf numFmtId="165" fontId="14" fillId="3" borderId="0" xfId="0" applyNumberFormat="1" applyFont="1" applyFill="1" applyBorder="1"/>
    <xf numFmtId="44" fontId="11" fillId="3" borderId="0" xfId="0" applyNumberFormat="1" applyFont="1" applyFill="1" applyBorder="1"/>
    <xf numFmtId="0" fontId="15" fillId="3" borderId="4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/>
    </xf>
    <xf numFmtId="0" fontId="16" fillId="3" borderId="0" xfId="0" applyFont="1" applyFill="1" applyBorder="1" applyAlignment="1">
      <alignment horizontal="right"/>
    </xf>
    <xf numFmtId="41" fontId="14" fillId="2" borderId="0" xfId="0" applyNumberFormat="1" applyFont="1" applyFill="1" applyBorder="1"/>
    <xf numFmtId="42" fontId="14" fillId="2" borderId="5" xfId="0" applyNumberFormat="1" applyFont="1" applyFill="1" applyBorder="1"/>
    <xf numFmtId="42" fontId="13" fillId="3" borderId="0" xfId="0" applyNumberFormat="1" applyFont="1" applyFill="1" applyBorder="1" applyAlignment="1">
      <alignment horizontal="right"/>
    </xf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7" fillId="4" borderId="0" xfId="0" applyNumberFormat="1" applyFont="1" applyFill="1" applyBorder="1" applyAlignment="1"/>
    <xf numFmtId="0" fontId="18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22" fillId="4" borderId="0" xfId="0" applyFont="1" applyFill="1" applyBorder="1"/>
    <xf numFmtId="0" fontId="23" fillId="4" borderId="0" xfId="0" applyFont="1" applyFill="1" applyBorder="1"/>
    <xf numFmtId="0" fontId="11" fillId="4" borderId="0" xfId="0" applyFont="1" applyFill="1" applyBorder="1"/>
    <xf numFmtId="0" fontId="0" fillId="4" borderId="0" xfId="0" applyFill="1" applyBorder="1"/>
    <xf numFmtId="0" fontId="3" fillId="0" borderId="0" xfId="0" applyFont="1" applyBorder="1"/>
    <xf numFmtId="0" fontId="4" fillId="0" borderId="0" xfId="0" applyFont="1" applyBorder="1"/>
    <xf numFmtId="0" fontId="4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4" fillId="3" borderId="0" xfId="0" applyFont="1" applyFill="1" applyBorder="1" applyAlignment="1"/>
    <xf numFmtId="166" fontId="13" fillId="3" borderId="0" xfId="2" applyNumberFormat="1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42" fontId="14" fillId="2" borderId="0" xfId="3" applyNumberFormat="1" applyFont="1" applyFill="1" applyBorder="1"/>
    <xf numFmtId="41" fontId="14" fillId="2" borderId="0" xfId="3" applyNumberFormat="1" applyFont="1" applyFill="1" applyBorder="1"/>
    <xf numFmtId="42" fontId="13" fillId="3" borderId="0" xfId="2" applyNumberFormat="1" applyFont="1" applyFill="1" applyBorder="1"/>
    <xf numFmtId="42" fontId="13" fillId="2" borderId="0" xfId="0" applyNumberFormat="1" applyFont="1" applyFill="1" applyBorder="1"/>
    <xf numFmtId="41" fontId="13" fillId="2" borderId="0" xfId="0" applyNumberFormat="1" applyFont="1" applyFill="1" applyBorder="1"/>
    <xf numFmtId="44" fontId="11" fillId="3" borderId="9" xfId="0" applyNumberFormat="1" applyFont="1" applyFill="1" applyBorder="1"/>
    <xf numFmtId="9" fontId="13" fillId="2" borderId="0" xfId="0" applyNumberFormat="1" applyFont="1" applyFill="1" applyBorder="1"/>
    <xf numFmtId="0" fontId="7" fillId="0" borderId="0" xfId="0" applyFont="1"/>
    <xf numFmtId="0" fontId="13" fillId="3" borderId="0" xfId="0" applyFont="1" applyFill="1" applyBorder="1"/>
    <xf numFmtId="44" fontId="11" fillId="3" borderId="9" xfId="0" applyNumberFormat="1" applyFont="1" applyFill="1" applyBorder="1" applyAlignment="1">
      <alignment horizontal="right"/>
    </xf>
    <xf numFmtId="41" fontId="7" fillId="3" borderId="0" xfId="0" applyNumberFormat="1" applyFont="1" applyFill="1" applyBorder="1"/>
    <xf numFmtId="44" fontId="13" fillId="3" borderId="0" xfId="0" applyNumberFormat="1" applyFont="1" applyFill="1" applyBorder="1" applyAlignment="1">
      <alignment horizontal="right"/>
    </xf>
    <xf numFmtId="9" fontId="14" fillId="2" borderId="0" xfId="3" applyFont="1" applyFill="1" applyBorder="1"/>
    <xf numFmtId="0" fontId="15" fillId="3" borderId="0" xfId="0" applyFont="1" applyFill="1" applyBorder="1"/>
    <xf numFmtId="0" fontId="24" fillId="3" borderId="4" xfId="0" applyFont="1" applyFill="1" applyBorder="1"/>
    <xf numFmtId="0" fontId="3" fillId="2" borderId="4" xfId="0" applyFont="1" applyFill="1" applyBorder="1"/>
    <xf numFmtId="166" fontId="14" fillId="2" borderId="0" xfId="2" applyNumberFormat="1" applyFont="1" applyFill="1" applyBorder="1"/>
    <xf numFmtId="0" fontId="3" fillId="3" borderId="4" xfId="0" applyFont="1" applyFill="1" applyBorder="1"/>
    <xf numFmtId="44" fontId="11" fillId="3" borderId="9" xfId="2" applyFont="1" applyFill="1" applyBorder="1"/>
    <xf numFmtId="166" fontId="11" fillId="3" borderId="9" xfId="2" applyNumberFormat="1" applyFont="1" applyFill="1" applyBorder="1"/>
    <xf numFmtId="41" fontId="14" fillId="2" borderId="0" xfId="2" applyNumberFormat="1" applyFont="1" applyFill="1" applyBorder="1"/>
    <xf numFmtId="166" fontId="11" fillId="3" borderId="0" xfId="2" applyNumberFormat="1" applyFont="1" applyFill="1" applyBorder="1"/>
    <xf numFmtId="41" fontId="11" fillId="3" borderId="0" xfId="0" applyNumberFormat="1" applyFont="1" applyFill="1" applyBorder="1"/>
    <xf numFmtId="41" fontId="11" fillId="3" borderId="9" xfId="0" applyNumberFormat="1" applyFont="1" applyFill="1" applyBorder="1"/>
    <xf numFmtId="44" fontId="11" fillId="3" borderId="9" xfId="2" applyNumberFormat="1" applyFont="1" applyFill="1" applyBorder="1"/>
    <xf numFmtId="44" fontId="11" fillId="3" borderId="0" xfId="2" applyFont="1" applyFill="1" applyBorder="1"/>
    <xf numFmtId="42" fontId="25" fillId="3" borderId="0" xfId="0" applyNumberFormat="1" applyFont="1" applyFill="1" applyBorder="1" applyAlignment="1">
      <alignment horizontal="right"/>
    </xf>
    <xf numFmtId="170" fontId="14" fillId="2" borderId="0" xfId="0" applyNumberFormat="1" applyFont="1" applyFill="1" applyBorder="1"/>
    <xf numFmtId="44" fontId="13" fillId="3" borderId="0" xfId="2" applyFont="1" applyFill="1" applyBorder="1"/>
    <xf numFmtId="41" fontId="14" fillId="3" borderId="0" xfId="0" applyNumberFormat="1" applyFont="1" applyFill="1" applyBorder="1"/>
    <xf numFmtId="170" fontId="11" fillId="3" borderId="0" xfId="0" applyNumberFormat="1" applyFont="1" applyFill="1" applyBorder="1"/>
    <xf numFmtId="170" fontId="13" fillId="3" borderId="0" xfId="0" applyNumberFormat="1" applyFont="1" applyFill="1" applyBorder="1"/>
    <xf numFmtId="6" fontId="26" fillId="3" borderId="0" xfId="0" applyNumberFormat="1" applyFont="1" applyFill="1" applyBorder="1"/>
    <xf numFmtId="171" fontId="11" fillId="3" borderId="9" xfId="0" applyNumberFormat="1" applyFont="1" applyFill="1" applyBorder="1"/>
    <xf numFmtId="170" fontId="14" fillId="3" borderId="0" xfId="0" applyNumberFormat="1" applyFont="1" applyFill="1" applyBorder="1"/>
    <xf numFmtId="170" fontId="11" fillId="3" borderId="9" xfId="0" applyNumberFormat="1" applyFont="1" applyFill="1" applyBorder="1"/>
    <xf numFmtId="170" fontId="13" fillId="2" borderId="0" xfId="0" applyNumberFormat="1" applyFont="1" applyFill="1" applyBorder="1"/>
    <xf numFmtId="0" fontId="7" fillId="3" borderId="0" xfId="0" applyFont="1" applyFill="1" applyBorder="1" applyAlignment="1">
      <alignment horizontal="left"/>
    </xf>
    <xf numFmtId="44" fontId="11" fillId="3" borderId="0" xfId="0" applyNumberFormat="1" applyFont="1" applyFill="1" applyBorder="1" applyAlignment="1">
      <alignment horizontal="left"/>
    </xf>
    <xf numFmtId="43" fontId="11" fillId="3" borderId="0" xfId="0" applyNumberFormat="1" applyFont="1" applyFill="1" applyBorder="1" applyAlignment="1">
      <alignment horizontal="left"/>
    </xf>
    <xf numFmtId="164" fontId="13" fillId="3" borderId="0" xfId="0" applyNumberFormat="1" applyFont="1" applyFill="1" applyBorder="1" applyAlignment="1">
      <alignment horizontal="right"/>
    </xf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43" fontId="4" fillId="3" borderId="0" xfId="0" applyNumberFormat="1" applyFont="1" applyFill="1" applyBorder="1" applyAlignment="1">
      <alignment horizontal="left"/>
    </xf>
    <xf numFmtId="0" fontId="25" fillId="2" borderId="0" xfId="0" applyFont="1" applyFill="1" applyBorder="1" applyAlignment="1">
      <alignment horizontal="right"/>
    </xf>
    <xf numFmtId="42" fontId="25" fillId="2" borderId="0" xfId="0" applyNumberFormat="1" applyFont="1" applyFill="1" applyBorder="1" applyAlignment="1">
      <alignment horizontal="right"/>
    </xf>
    <xf numFmtId="41" fontId="14" fillId="2" borderId="0" xfId="2" applyNumberFormat="1" applyFont="1" applyFill="1" applyBorder="1" applyAlignment="1">
      <alignment horizontal="right"/>
    </xf>
    <xf numFmtId="166" fontId="14" fillId="2" borderId="0" xfId="2" applyNumberFormat="1" applyFont="1" applyFill="1" applyBorder="1" applyAlignment="1">
      <alignment horizontal="right"/>
    </xf>
    <xf numFmtId="0" fontId="26" fillId="3" borderId="0" xfId="0" applyFont="1" applyFill="1" applyBorder="1"/>
    <xf numFmtId="0" fontId="0" fillId="3" borderId="0" xfId="0" applyFill="1"/>
    <xf numFmtId="166" fontId="13" fillId="3" borderId="0" xfId="0" applyNumberFormat="1" applyFont="1" applyFill="1" applyBorder="1"/>
    <xf numFmtId="42" fontId="4" fillId="3" borderId="0" xfId="0" applyNumberFormat="1" applyFont="1" applyFill="1" applyBorder="1"/>
    <xf numFmtId="6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9" fillId="3" borderId="2" xfId="0" applyFont="1" applyFill="1" applyBorder="1" applyAlignment="1"/>
    <xf numFmtId="41" fontId="4" fillId="3" borderId="0" xfId="0" applyNumberFormat="1" applyFont="1" applyFill="1" applyBorder="1" applyAlignment="1"/>
    <xf numFmtId="166" fontId="13" fillId="3" borderId="0" xfId="0" applyNumberFormat="1" applyFont="1" applyFill="1" applyBorder="1" applyAlignment="1">
      <alignment horizontal="right"/>
    </xf>
    <xf numFmtId="44" fontId="11" fillId="3" borderId="9" xfId="2" applyFont="1" applyFill="1" applyBorder="1" applyAlignment="1">
      <alignment horizontal="right"/>
    </xf>
    <xf numFmtId="44" fontId="28" fillId="3" borderId="0" xfId="0" applyNumberFormat="1" applyFont="1" applyFill="1" applyBorder="1" applyAlignment="1">
      <alignment horizontal="right"/>
    </xf>
    <xf numFmtId="0" fontId="28" fillId="3" borderId="0" xfId="0" applyFont="1" applyFill="1" applyBorder="1"/>
    <xf numFmtId="169" fontId="11" fillId="3" borderId="9" xfId="0" applyNumberFormat="1" applyFont="1" applyFill="1" applyBorder="1" applyAlignment="1">
      <alignment horizontal="right"/>
    </xf>
    <xf numFmtId="0" fontId="24" fillId="3" borderId="6" xfId="0" applyFont="1" applyFill="1" applyBorder="1"/>
    <xf numFmtId="0" fontId="0" fillId="3" borderId="2" xfId="0" applyFill="1" applyBorder="1"/>
    <xf numFmtId="169" fontId="13" fillId="3" borderId="0" xfId="0" applyNumberFormat="1" applyFont="1" applyFill="1" applyBorder="1"/>
    <xf numFmtId="42" fontId="14" fillId="2" borderId="0" xfId="1" applyNumberFormat="1" applyFont="1" applyFill="1" applyBorder="1"/>
    <xf numFmtId="41" fontId="14" fillId="2" borderId="0" xfId="1" applyNumberFormat="1" applyFont="1" applyFill="1" applyBorder="1"/>
    <xf numFmtId="9" fontId="14" fillId="2" borderId="0" xfId="3" applyNumberFormat="1" applyFont="1" applyFill="1" applyBorder="1"/>
    <xf numFmtId="43" fontId="4" fillId="2" borderId="7" xfId="1" applyFont="1" applyFill="1" applyBorder="1"/>
    <xf numFmtId="0" fontId="25" fillId="3" borderId="0" xfId="0" applyFont="1" applyFill="1" applyBorder="1"/>
    <xf numFmtId="42" fontId="13" fillId="3" borderId="0" xfId="3" applyNumberFormat="1" applyFont="1" applyFill="1" applyBorder="1"/>
    <xf numFmtId="41" fontId="13" fillId="3" borderId="0" xfId="3" applyNumberFormat="1" applyFont="1" applyFill="1" applyBorder="1"/>
    <xf numFmtId="41" fontId="13" fillId="3" borderId="10" xfId="3" applyNumberFormat="1" applyFont="1" applyFill="1" applyBorder="1"/>
    <xf numFmtId="42" fontId="14" fillId="3" borderId="0" xfId="3" applyNumberFormat="1" applyFont="1" applyFill="1" applyBorder="1"/>
    <xf numFmtId="8" fontId="11" fillId="3" borderId="0" xfId="3" applyNumberFormat="1" applyFont="1" applyFill="1" applyBorder="1"/>
    <xf numFmtId="0" fontId="29" fillId="3" borderId="0" xfId="0" applyFont="1" applyFill="1" applyBorder="1" applyAlignment="1">
      <alignment horizontal="right"/>
    </xf>
    <xf numFmtId="42" fontId="28" fillId="3" borderId="0" xfId="3" applyNumberFormat="1" applyFont="1" applyFill="1" applyBorder="1" applyAlignment="1">
      <alignment horizontal="center"/>
    </xf>
    <xf numFmtId="10" fontId="11" fillId="3" borderId="9" xfId="3" applyNumberFormat="1" applyFont="1" applyFill="1" applyBorder="1"/>
    <xf numFmtId="8" fontId="11" fillId="3" borderId="9" xfId="3" applyNumberFormat="1" applyFont="1" applyFill="1" applyBorder="1"/>
    <xf numFmtId="168" fontId="11" fillId="3" borderId="9" xfId="3" applyNumberFormat="1" applyFont="1" applyFill="1" applyBorder="1"/>
    <xf numFmtId="0" fontId="25" fillId="3" borderId="0" xfId="0" applyFont="1" applyFill="1" applyBorder="1" applyAlignment="1">
      <alignment horizontal="center"/>
    </xf>
    <xf numFmtId="7" fontId="11" fillId="3" borderId="9" xfId="3" applyNumberFormat="1" applyFont="1" applyFill="1" applyBorder="1"/>
    <xf numFmtId="41" fontId="13" fillId="2" borderId="0" xfId="3" applyNumberFormat="1" applyFont="1" applyFill="1" applyBorder="1"/>
    <xf numFmtId="42" fontId="13" fillId="2" borderId="0" xfId="1" applyNumberFormat="1" applyFont="1" applyFill="1" applyBorder="1"/>
    <xf numFmtId="41" fontId="13" fillId="2" borderId="0" xfId="1" applyNumberFormat="1" applyFont="1" applyFill="1" applyBorder="1"/>
    <xf numFmtId="42" fontId="13" fillId="2" borderId="0" xfId="3" applyNumberFormat="1" applyFont="1" applyFill="1" applyBorder="1"/>
    <xf numFmtId="9" fontId="13" fillId="2" borderId="0" xfId="3" applyNumberFormat="1" applyFont="1" applyFill="1" applyBorder="1"/>
    <xf numFmtId="0" fontId="30" fillId="3" borderId="0" xfId="0" applyFont="1" applyFill="1" applyBorder="1" applyAlignment="1">
      <alignment horizontal="center"/>
    </xf>
    <xf numFmtId="7" fontId="11" fillId="3" borderId="0" xfId="3" applyNumberFormat="1" applyFont="1" applyFill="1" applyBorder="1"/>
    <xf numFmtId="0" fontId="31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42" fontId="25" fillId="3" borderId="0" xfId="0" applyNumberFormat="1" applyFont="1" applyFill="1" applyBorder="1" applyAlignment="1">
      <alignment horizontal="center"/>
    </xf>
    <xf numFmtId="166" fontId="13" fillId="3" borderId="0" xfId="2" applyNumberFormat="1" applyFont="1" applyFill="1" applyBorder="1" applyAlignment="1">
      <alignment horizontal="right"/>
    </xf>
    <xf numFmtId="166" fontId="13" fillId="2" borderId="0" xfId="2" applyNumberFormat="1" applyFont="1" applyFill="1" applyBorder="1"/>
    <xf numFmtId="9" fontId="13" fillId="2" borderId="0" xfId="3" applyFont="1" applyFill="1" applyBorder="1"/>
    <xf numFmtId="41" fontId="13" fillId="3" borderId="0" xfId="2" applyNumberFormat="1" applyFont="1" applyFill="1" applyBorder="1"/>
    <xf numFmtId="166" fontId="13" fillId="3" borderId="0" xfId="0" applyNumberFormat="1" applyFont="1" applyFill="1" applyBorder="1" applyAlignment="1">
      <alignment horizontal="center"/>
    </xf>
    <xf numFmtId="0" fontId="0" fillId="2" borderId="8" xfId="0" applyFill="1" applyBorder="1"/>
    <xf numFmtId="44" fontId="11" fillId="3" borderId="9" xfId="0" applyNumberFormat="1" applyFont="1" applyFill="1" applyBorder="1" applyAlignment="1">
      <alignment horizontal="center"/>
    </xf>
    <xf numFmtId="44" fontId="13" fillId="3" borderId="0" xfId="2" applyNumberFormat="1" applyFont="1" applyFill="1" applyBorder="1"/>
    <xf numFmtId="172" fontId="14" fillId="2" borderId="0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44" fontId="11" fillId="0" borderId="2" xfId="2" applyFont="1" applyFill="1" applyBorder="1"/>
    <xf numFmtId="41" fontId="13" fillId="3" borderId="0" xfId="0" applyNumberFormat="1" applyFont="1" applyFill="1" applyBorder="1" applyAlignment="1">
      <alignment horizontal="right"/>
    </xf>
    <xf numFmtId="44" fontId="13" fillId="3" borderId="10" xfId="2" applyFont="1" applyFill="1" applyBorder="1"/>
    <xf numFmtId="0" fontId="6" fillId="2" borderId="2" xfId="0" applyFont="1" applyFill="1" applyBorder="1"/>
    <xf numFmtId="172" fontId="14" fillId="2" borderId="0" xfId="1" applyNumberFormat="1" applyFont="1" applyFill="1" applyBorder="1"/>
    <xf numFmtId="0" fontId="6" fillId="2" borderId="7" xfId="0" applyFont="1" applyFill="1" applyBorder="1"/>
    <xf numFmtId="0" fontId="10" fillId="3" borderId="2" xfId="0" applyFont="1" applyFill="1" applyBorder="1"/>
    <xf numFmtId="0" fontId="29" fillId="3" borderId="0" xfId="0" applyFont="1" applyFill="1" applyBorder="1" applyAlignment="1">
      <alignment horizontal="center"/>
    </xf>
    <xf numFmtId="44" fontId="29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8" fontId="13" fillId="3" borderId="0" xfId="2" applyNumberFormat="1" applyFont="1" applyFill="1" applyBorder="1"/>
    <xf numFmtId="8" fontId="11" fillId="3" borderId="0" xfId="2" applyNumberFormat="1" applyFont="1" applyFill="1" applyBorder="1"/>
    <xf numFmtId="9" fontId="11" fillId="3" borderId="0" xfId="3" applyFont="1" applyFill="1" applyBorder="1"/>
    <xf numFmtId="0" fontId="0" fillId="3" borderId="7" xfId="0" applyFill="1" applyBorder="1"/>
    <xf numFmtId="0" fontId="10" fillId="3" borderId="7" xfId="0" applyFont="1" applyFill="1" applyBorder="1"/>
    <xf numFmtId="0" fontId="24" fillId="2" borderId="0" xfId="0" applyFont="1" applyFill="1" applyBorder="1"/>
    <xf numFmtId="170" fontId="11" fillId="3" borderId="9" xfId="0" applyNumberFormat="1" applyFont="1" applyFill="1" applyBorder="1" applyAlignment="1">
      <alignment horizontal="right"/>
    </xf>
    <xf numFmtId="170" fontId="11" fillId="3" borderId="0" xfId="0" applyNumberFormat="1" applyFont="1" applyFill="1" applyBorder="1" applyAlignment="1">
      <alignment horizontal="right"/>
    </xf>
    <xf numFmtId="173" fontId="33" fillId="3" borderId="0" xfId="0" applyNumberFormat="1" applyFont="1" applyFill="1" applyBorder="1" applyAlignment="1">
      <alignment horizontal="right"/>
    </xf>
    <xf numFmtId="37" fontId="13" fillId="3" borderId="0" xfId="0" applyNumberFormat="1" applyFont="1" applyFill="1" applyBorder="1" applyAlignment="1">
      <alignment horizontal="left"/>
    </xf>
    <xf numFmtId="44" fontId="10" fillId="3" borderId="0" xfId="0" applyNumberFormat="1" applyFont="1" applyFill="1" applyBorder="1"/>
    <xf numFmtId="172" fontId="13" fillId="2" borderId="0" xfId="1" applyNumberFormat="1" applyFont="1" applyFill="1" applyBorder="1"/>
    <xf numFmtId="0" fontId="3" fillId="3" borderId="0" xfId="0" applyFont="1" applyFill="1" applyBorder="1"/>
    <xf numFmtId="44" fontId="14" fillId="2" borderId="0" xfId="0" applyNumberFormat="1" applyFont="1" applyFill="1" applyBorder="1"/>
    <xf numFmtId="166" fontId="14" fillId="2" borderId="0" xfId="0" applyNumberFormat="1" applyFont="1" applyFill="1" applyBorder="1"/>
    <xf numFmtId="166" fontId="14" fillId="2" borderId="0" xfId="3" applyNumberFormat="1" applyFont="1" applyFill="1" applyBorder="1" applyAlignment="1">
      <alignment horizontal="right"/>
    </xf>
    <xf numFmtId="167" fontId="11" fillId="3" borderId="9" xfId="0" applyNumberFormat="1" applyFont="1" applyFill="1" applyBorder="1"/>
    <xf numFmtId="43" fontId="11" fillId="3" borderId="9" xfId="0" applyNumberFormat="1" applyFont="1" applyFill="1" applyBorder="1"/>
    <xf numFmtId="0" fontId="1" fillId="2" borderId="0" xfId="0" applyFont="1" applyFill="1"/>
    <xf numFmtId="0" fontId="5" fillId="2" borderId="0" xfId="0" applyFont="1" applyFill="1" applyBorder="1"/>
    <xf numFmtId="42" fontId="4" fillId="3" borderId="0" xfId="0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70" fontId="4" fillId="3" borderId="0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1" fontId="4" fillId="3" borderId="0" xfId="0" applyNumberFormat="1" applyFont="1" applyFill="1" applyBorder="1" applyAlignment="1">
      <alignment horizontal="center"/>
    </xf>
    <xf numFmtId="42" fontId="4" fillId="3" borderId="9" xfId="0" applyNumberFormat="1" applyFont="1" applyFill="1" applyBorder="1" applyAlignment="1">
      <alignment horizontal="center"/>
    </xf>
    <xf numFmtId="42" fontId="4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4" fillId="3" borderId="9" xfId="0" applyFont="1" applyFill="1" applyBorder="1" applyAlignment="1">
      <alignment horizontal="center"/>
    </xf>
    <xf numFmtId="9" fontId="13" fillId="3" borderId="0" xfId="0" applyNumberFormat="1" applyFont="1" applyFill="1" applyBorder="1" applyAlignment="1">
      <alignment horizontal="center"/>
    </xf>
    <xf numFmtId="41" fontId="4" fillId="3" borderId="9" xfId="0" applyNumberFormat="1" applyFont="1" applyFill="1" applyBorder="1" applyAlignment="1">
      <alignment horizontal="center"/>
    </xf>
    <xf numFmtId="170" fontId="4" fillId="3" borderId="9" xfId="0" applyNumberFormat="1" applyFont="1" applyFill="1" applyBorder="1" applyAlignment="1">
      <alignment horizontal="center"/>
    </xf>
    <xf numFmtId="42" fontId="13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172" fontId="24" fillId="2" borderId="0" xfId="1" applyNumberFormat="1" applyFont="1" applyFill="1" applyBorder="1"/>
    <xf numFmtId="0" fontId="10" fillId="3" borderId="0" xfId="0" applyFont="1" applyFill="1" applyBorder="1"/>
    <xf numFmtId="41" fontId="13" fillId="3" borderId="0" xfId="0" applyNumberFormat="1" applyFont="1" applyFill="1" applyBorder="1" applyAlignment="1">
      <alignment horizontal="center"/>
    </xf>
    <xf numFmtId="0" fontId="4" fillId="3" borderId="0" xfId="0" quotePrefix="1" applyFont="1" applyFill="1" applyBorder="1"/>
    <xf numFmtId="41" fontId="13" fillId="3" borderId="10" xfId="0" applyNumberFormat="1" applyFont="1" applyFill="1" applyBorder="1"/>
    <xf numFmtId="0" fontId="13" fillId="3" borderId="10" xfId="0" applyFont="1" applyFill="1" applyBorder="1"/>
    <xf numFmtId="0" fontId="13" fillId="3" borderId="10" xfId="0" applyNumberFormat="1" applyFont="1" applyFill="1" applyBorder="1"/>
    <xf numFmtId="166" fontId="13" fillId="3" borderId="11" xfId="1" applyNumberFormat="1" applyFont="1" applyFill="1" applyBorder="1"/>
    <xf numFmtId="44" fontId="10" fillId="3" borderId="0" xfId="2" applyFont="1" applyFill="1" applyBorder="1"/>
    <xf numFmtId="44" fontId="11" fillId="3" borderId="9" xfId="1" applyNumberFormat="1" applyFont="1" applyFill="1" applyBorder="1"/>
    <xf numFmtId="43" fontId="10" fillId="3" borderId="0" xfId="1" applyFont="1" applyFill="1" applyBorder="1"/>
    <xf numFmtId="37" fontId="7" fillId="3" borderId="0" xfId="1" applyNumberFormat="1" applyFont="1" applyFill="1" applyBorder="1"/>
    <xf numFmtId="43" fontId="13" fillId="3" borderId="0" xfId="1" applyFont="1" applyFill="1" applyBorder="1"/>
    <xf numFmtId="166" fontId="13" fillId="3" borderId="11" xfId="3" applyNumberFormat="1" applyFont="1" applyFill="1" applyBorder="1"/>
    <xf numFmtId="166" fontId="13" fillId="3" borderId="11" xfId="0" applyNumberFormat="1" applyFont="1" applyFill="1" applyBorder="1"/>
    <xf numFmtId="44" fontId="11" fillId="3" borderId="9" xfId="3" applyNumberFormat="1" applyFont="1" applyFill="1" applyBorder="1"/>
    <xf numFmtId="9" fontId="13" fillId="3" borderId="0" xfId="3" applyFont="1" applyFill="1" applyBorder="1"/>
    <xf numFmtId="166" fontId="13" fillId="3" borderId="0" xfId="3" applyNumberFormat="1" applyFont="1" applyFill="1" applyBorder="1"/>
    <xf numFmtId="166" fontId="13" fillId="3" borderId="11" xfId="2" applyNumberFormat="1" applyFont="1" applyFill="1" applyBorder="1"/>
    <xf numFmtId="1" fontId="7" fillId="3" borderId="0" xfId="1" applyNumberFormat="1" applyFont="1" applyFill="1" applyBorder="1"/>
    <xf numFmtId="172" fontId="4" fillId="3" borderId="0" xfId="1" applyNumberFormat="1" applyFont="1" applyFill="1" applyBorder="1"/>
    <xf numFmtId="44" fontId="23" fillId="3" borderId="0" xfId="2" applyFont="1" applyFill="1" applyBorder="1"/>
    <xf numFmtId="44" fontId="7" fillId="3" borderId="0" xfId="0" applyNumberFormat="1" applyFont="1" applyFill="1" applyBorder="1"/>
    <xf numFmtId="44" fontId="4" fillId="3" borderId="0" xfId="0" applyNumberFormat="1" applyFont="1" applyFill="1" applyBorder="1"/>
    <xf numFmtId="41" fontId="35" fillId="2" borderId="0" xfId="3" applyNumberFormat="1" applyFont="1" applyFill="1" applyBorder="1" applyAlignment="1">
      <alignment horizontal="right"/>
    </xf>
    <xf numFmtId="41" fontId="35" fillId="3" borderId="0" xfId="3" applyNumberFormat="1" applyFont="1" applyFill="1" applyBorder="1" applyAlignment="1">
      <alignment horizontal="right"/>
    </xf>
    <xf numFmtId="43" fontId="13" fillId="3" borderId="0" xfId="0" applyNumberFormat="1" applyFont="1" applyFill="1" applyBorder="1"/>
    <xf numFmtId="43" fontId="13" fillId="3" borderId="10" xfId="0" applyNumberFormat="1" applyFont="1" applyFill="1" applyBorder="1"/>
    <xf numFmtId="0" fontId="36" fillId="4" borderId="0" xfId="0" applyFont="1" applyFill="1" applyBorder="1"/>
    <xf numFmtId="8" fontId="11" fillId="3" borderId="9" xfId="3" applyNumberFormat="1" applyFont="1" applyFill="1" applyBorder="1" applyAlignment="1">
      <alignment horizontal="center"/>
    </xf>
    <xf numFmtId="42" fontId="37" fillId="3" borderId="0" xfId="0" applyNumberFormat="1" applyFont="1" applyFill="1" applyBorder="1" applyAlignment="1">
      <alignment horizontal="center"/>
    </xf>
    <xf numFmtId="9" fontId="37" fillId="2" borderId="0" xfId="3" applyFont="1" applyFill="1" applyBorder="1"/>
    <xf numFmtId="0" fontId="7" fillId="5" borderId="0" xfId="0" applyFont="1" applyFill="1" applyBorder="1"/>
    <xf numFmtId="44" fontId="37" fillId="3" borderId="0" xfId="0" applyNumberFormat="1" applyFont="1" applyFill="1" applyBorder="1"/>
    <xf numFmtId="41" fontId="38" fillId="3" borderId="9" xfId="0" applyNumberFormat="1" applyFont="1" applyFill="1" applyBorder="1"/>
    <xf numFmtId="44" fontId="38" fillId="3" borderId="9" xfId="0" applyNumberFormat="1" applyFont="1" applyFill="1" applyBorder="1"/>
    <xf numFmtId="44" fontId="37" fillId="3" borderId="0" xfId="0" applyNumberFormat="1" applyFont="1" applyFill="1" applyBorder="1" applyAlignment="1">
      <alignment horizontal="right"/>
    </xf>
    <xf numFmtId="167" fontId="11" fillId="3" borderId="9" xfId="0" applyNumberFormat="1" applyFont="1" applyFill="1" applyBorder="1" applyAlignment="1">
      <alignment horizontal="right"/>
    </xf>
    <xf numFmtId="42" fontId="37" fillId="3" borderId="0" xfId="2" applyNumberFormat="1" applyFont="1" applyFill="1" applyBorder="1"/>
    <xf numFmtId="41" fontId="37" fillId="3" borderId="10" xfId="3" applyNumberFormat="1" applyFont="1" applyFill="1" applyBorder="1"/>
    <xf numFmtId="42" fontId="4" fillId="0" borderId="0" xfId="0" applyNumberFormat="1" applyFont="1"/>
    <xf numFmtId="44" fontId="13" fillId="3" borderId="0" xfId="3" applyNumberFormat="1" applyFont="1" applyFill="1" applyBorder="1"/>
    <xf numFmtId="166" fontId="37" fillId="2" borderId="0" xfId="2" applyNumberFormat="1" applyFont="1" applyFill="1" applyBorder="1"/>
    <xf numFmtId="172" fontId="37" fillId="2" borderId="0" xfId="1" applyNumberFormat="1" applyFont="1" applyFill="1" applyBorder="1"/>
    <xf numFmtId="166" fontId="14" fillId="2" borderId="0" xfId="3" applyNumberFormat="1" applyFont="1" applyFill="1" applyBorder="1"/>
    <xf numFmtId="0" fontId="24" fillId="3" borderId="0" xfId="0" applyFont="1" applyFill="1" applyBorder="1"/>
    <xf numFmtId="41" fontId="37" fillId="3" borderId="0" xfId="2" applyNumberFormat="1" applyFont="1" applyFill="1" applyBorder="1"/>
    <xf numFmtId="166" fontId="37" fillId="3" borderId="0" xfId="0" applyNumberFormat="1" applyFont="1" applyFill="1" applyBorder="1" applyAlignment="1">
      <alignment horizontal="center"/>
    </xf>
    <xf numFmtId="44" fontId="37" fillId="3" borderId="0" xfId="2" applyFont="1" applyFill="1" applyBorder="1"/>
    <xf numFmtId="0" fontId="37" fillId="3" borderId="0" xfId="0" applyFont="1" applyFill="1" applyBorder="1"/>
    <xf numFmtId="41" fontId="37" fillId="3" borderId="0" xfId="0" applyNumberFormat="1" applyFont="1" applyFill="1" applyBorder="1" applyAlignment="1">
      <alignment horizontal="center"/>
    </xf>
    <xf numFmtId="41" fontId="13" fillId="3" borderId="10" xfId="0" applyNumberFormat="1" applyFont="1" applyFill="1" applyBorder="1" applyAlignment="1">
      <alignment horizontal="center"/>
    </xf>
    <xf numFmtId="166" fontId="37" fillId="2" borderId="0" xfId="3" applyNumberFormat="1" applyFont="1" applyFill="1" applyBorder="1" applyAlignment="1">
      <alignment horizontal="right"/>
    </xf>
    <xf numFmtId="41" fontId="4" fillId="0" borderId="0" xfId="0" applyNumberFormat="1" applyFont="1"/>
    <xf numFmtId="42" fontId="37" fillId="3" borderId="10" xfId="3" applyNumberFormat="1" applyFont="1" applyFill="1" applyBorder="1"/>
    <xf numFmtId="166" fontId="0" fillId="0" borderId="0" xfId="0" applyNumberFormat="1"/>
    <xf numFmtId="0" fontId="4" fillId="3" borderId="0" xfId="0" applyNumberFormat="1" applyFont="1" applyFill="1" applyBorder="1" applyAlignment="1"/>
    <xf numFmtId="42" fontId="0" fillId="0" borderId="0" xfId="0" applyNumberFormat="1"/>
    <xf numFmtId="44" fontId="4" fillId="0" borderId="0" xfId="0" applyNumberFormat="1" applyFont="1"/>
    <xf numFmtId="10" fontId="14" fillId="2" borderId="0" xfId="3" applyNumberFormat="1" applyFont="1" applyFill="1" applyBorder="1"/>
    <xf numFmtId="166" fontId="37" fillId="3" borderId="0" xfId="0" applyNumberFormat="1" applyFont="1" applyFill="1" applyBorder="1"/>
    <xf numFmtId="165" fontId="9" fillId="0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33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30</xdr:row>
      <xdr:rowOff>114300</xdr:rowOff>
    </xdr:from>
    <xdr:to>
      <xdr:col>4</xdr:col>
      <xdr:colOff>0</xdr:colOff>
      <xdr:row>31</xdr:row>
      <xdr:rowOff>104775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2981325" y="6162675"/>
          <a:ext cx="3714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31</xdr:row>
      <xdr:rowOff>114300</xdr:rowOff>
    </xdr:from>
    <xdr:to>
      <xdr:col>4</xdr:col>
      <xdr:colOff>9525</xdr:colOff>
      <xdr:row>32</xdr:row>
      <xdr:rowOff>95250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2981325" y="6362700"/>
          <a:ext cx="3810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29</xdr:row>
      <xdr:rowOff>95250</xdr:rowOff>
    </xdr:from>
    <xdr:to>
      <xdr:col>5</xdr:col>
      <xdr:colOff>371475</xdr:colOff>
      <xdr:row>30</xdr:row>
      <xdr:rowOff>95250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4724400" y="5943600"/>
          <a:ext cx="3619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32</xdr:row>
      <xdr:rowOff>104775</xdr:rowOff>
    </xdr:from>
    <xdr:to>
      <xdr:col>5</xdr:col>
      <xdr:colOff>371475</xdr:colOff>
      <xdr:row>33</xdr:row>
      <xdr:rowOff>95250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4714875" y="6553200"/>
          <a:ext cx="3714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28</xdr:row>
      <xdr:rowOff>95250</xdr:rowOff>
    </xdr:from>
    <xdr:to>
      <xdr:col>8</xdr:col>
      <xdr:colOff>0</xdr:colOff>
      <xdr:row>29</xdr:row>
      <xdr:rowOff>104775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6457950" y="5743575"/>
          <a:ext cx="38100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29</xdr:row>
      <xdr:rowOff>95250</xdr:rowOff>
    </xdr:from>
    <xdr:to>
      <xdr:col>8</xdr:col>
      <xdr:colOff>0</xdr:colOff>
      <xdr:row>30</xdr:row>
      <xdr:rowOff>95250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6457950" y="5943600"/>
          <a:ext cx="3810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26</xdr:row>
      <xdr:rowOff>104775</xdr:rowOff>
    </xdr:from>
    <xdr:to>
      <xdr:col>10</xdr:col>
      <xdr:colOff>0</xdr:colOff>
      <xdr:row>28</xdr:row>
      <xdr:rowOff>85725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8210550" y="5353050"/>
          <a:ext cx="37147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9525</xdr:colOff>
      <xdr:row>30</xdr:row>
      <xdr:rowOff>85725</xdr:rowOff>
    </xdr:from>
    <xdr:to>
      <xdr:col>10</xdr:col>
      <xdr:colOff>0</xdr:colOff>
      <xdr:row>31</xdr:row>
      <xdr:rowOff>104775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8210550" y="6134100"/>
          <a:ext cx="3714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>
      <selection activeCell="C2" sqref="C2"/>
    </sheetView>
  </sheetViews>
  <sheetFormatPr defaultRowHeight="12.75" x14ac:dyDescent="0.2"/>
  <cols>
    <col min="1" max="3" width="9.140625" style="78"/>
    <col min="4" max="4" width="42.5703125" style="78" customWidth="1"/>
    <col min="5" max="16384" width="9.140625" style="78"/>
  </cols>
  <sheetData>
    <row r="1" spans="1:29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1:29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1:29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1:29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1:29" ht="59.25" x14ac:dyDescent="0.75">
      <c r="A12" s="76"/>
      <c r="B12" s="76"/>
      <c r="C12" s="76"/>
      <c r="D12" s="79" t="s">
        <v>332</v>
      </c>
      <c r="E12" s="76"/>
      <c r="F12" s="80"/>
      <c r="G12" s="76"/>
      <c r="H12" s="76"/>
      <c r="I12" s="76"/>
      <c r="J12" s="76"/>
      <c r="K12" s="76"/>
      <c r="L12" s="76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1:29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1:29" ht="23.25" x14ac:dyDescent="0.35">
      <c r="A14" s="76"/>
      <c r="B14" s="76"/>
      <c r="C14" s="76"/>
      <c r="D14" s="81" t="s">
        <v>326</v>
      </c>
      <c r="E14" s="76"/>
      <c r="F14" s="76"/>
      <c r="G14" s="76"/>
      <c r="H14" s="76"/>
      <c r="I14" s="76"/>
      <c r="J14" s="76"/>
      <c r="K14" s="76"/>
      <c r="L14" s="76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</row>
    <row r="15" spans="1:29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</row>
    <row r="16" spans="1:29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29" ht="15" x14ac:dyDescent="0.2">
      <c r="A17" s="76"/>
      <c r="B17" s="76"/>
      <c r="C17" s="76"/>
      <c r="D17" s="82"/>
      <c r="E17" s="76"/>
      <c r="F17" s="76"/>
      <c r="G17" s="76"/>
      <c r="H17" s="76"/>
      <c r="I17" s="76"/>
      <c r="J17" s="76"/>
      <c r="K17" s="76"/>
      <c r="L17" s="76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1:29" ht="15.75" x14ac:dyDescent="0.25">
      <c r="A18" s="76"/>
      <c r="B18" s="76"/>
      <c r="C18" s="76"/>
      <c r="D18" s="83" t="s">
        <v>30</v>
      </c>
      <c r="E18" s="76"/>
      <c r="F18" s="76"/>
      <c r="G18" s="76"/>
      <c r="H18" s="76"/>
      <c r="I18" s="76"/>
      <c r="J18" s="76"/>
      <c r="K18" s="76"/>
      <c r="L18" s="76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29" ht="15.75" x14ac:dyDescent="0.25">
      <c r="A19" s="76"/>
      <c r="B19" s="76"/>
      <c r="C19" s="76"/>
      <c r="D19" s="84" t="s">
        <v>31</v>
      </c>
      <c r="E19" s="76"/>
      <c r="F19" s="76"/>
      <c r="G19" s="76"/>
      <c r="H19" s="76"/>
      <c r="I19" s="76"/>
      <c r="J19" s="76"/>
      <c r="K19" s="76"/>
      <c r="L19" s="76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1:29" ht="15.75" x14ac:dyDescent="0.25">
      <c r="A20" s="76"/>
      <c r="B20" s="76"/>
      <c r="C20" s="76"/>
      <c r="D20" s="85" t="s">
        <v>32</v>
      </c>
      <c r="E20" s="76"/>
      <c r="F20" s="76"/>
      <c r="G20" s="76"/>
      <c r="H20" s="76"/>
      <c r="I20" s="76"/>
      <c r="J20" s="76"/>
      <c r="K20" s="76"/>
      <c r="L20" s="76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29" ht="15.75" x14ac:dyDescent="0.25">
      <c r="A21" s="76"/>
      <c r="B21" s="76"/>
      <c r="C21" s="76"/>
      <c r="D21" s="86" t="s">
        <v>33</v>
      </c>
      <c r="E21" s="76"/>
      <c r="F21" s="76"/>
      <c r="G21" s="76"/>
      <c r="H21" s="76"/>
      <c r="I21" s="76"/>
      <c r="J21" s="76"/>
      <c r="K21" s="76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</row>
    <row r="22" spans="1:29" ht="15.75" x14ac:dyDescent="0.25">
      <c r="A22" s="76"/>
      <c r="B22" s="76"/>
      <c r="C22" s="76"/>
      <c r="D22" s="87" t="s">
        <v>34</v>
      </c>
      <c r="E22" s="76"/>
      <c r="F22" s="76"/>
      <c r="G22" s="76"/>
      <c r="H22" s="76"/>
      <c r="I22" s="76"/>
      <c r="J22" s="76"/>
      <c r="K22" s="76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1:29" ht="15" x14ac:dyDescent="0.2">
      <c r="A23" s="76"/>
      <c r="B23" s="76"/>
      <c r="C23" s="76"/>
      <c r="D23" s="82"/>
      <c r="E23" s="76"/>
      <c r="F23" s="76"/>
      <c r="G23" s="76"/>
      <c r="H23" s="76"/>
      <c r="I23" s="76"/>
      <c r="J23" s="76"/>
      <c r="K23" s="76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</row>
    <row r="24" spans="1:29" x14ac:dyDescent="0.2">
      <c r="A24" s="76"/>
      <c r="B24" s="76"/>
      <c r="C24" s="76"/>
      <c r="D24" s="286" t="s">
        <v>327</v>
      </c>
      <c r="E24" s="76"/>
      <c r="F24" s="76"/>
      <c r="G24" s="76"/>
      <c r="H24" s="76"/>
      <c r="I24" s="76"/>
      <c r="J24" s="76"/>
      <c r="K24" s="76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1:29" x14ac:dyDescent="0.2">
      <c r="A25" s="76"/>
      <c r="B25" s="76"/>
      <c r="C25" s="76"/>
      <c r="D25" s="286" t="s">
        <v>328</v>
      </c>
      <c r="E25" s="76"/>
      <c r="F25" s="76"/>
      <c r="G25" s="76"/>
      <c r="H25" s="76"/>
      <c r="I25" s="76"/>
      <c r="J25" s="76"/>
      <c r="K25" s="76"/>
      <c r="L25" s="76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</row>
    <row r="26" spans="1:29" x14ac:dyDescent="0.2">
      <c r="A26" s="76"/>
      <c r="B26" s="76"/>
      <c r="C26" s="76"/>
      <c r="D26" s="286" t="s">
        <v>329</v>
      </c>
      <c r="E26" s="76"/>
      <c r="F26" s="76"/>
      <c r="G26" s="76"/>
      <c r="H26" s="76"/>
      <c r="I26" s="76"/>
      <c r="J26" s="76"/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</row>
    <row r="27" spans="1:29" x14ac:dyDescent="0.2">
      <c r="A27" s="76"/>
      <c r="B27" s="76"/>
      <c r="C27" s="76"/>
      <c r="D27" s="286" t="s">
        <v>330</v>
      </c>
      <c r="E27" s="76"/>
      <c r="F27" s="76"/>
      <c r="G27" s="76"/>
      <c r="H27" s="76"/>
      <c r="I27" s="76"/>
      <c r="J27" s="76"/>
      <c r="K27" s="76"/>
      <c r="L27" s="76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</row>
    <row r="28" spans="1:29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29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x14ac:dyDescent="0.2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</row>
    <row r="31" spans="1:29" x14ac:dyDescent="0.2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</row>
    <row r="32" spans="1:29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</row>
    <row r="33" spans="1:29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</row>
    <row r="34" spans="1:29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</row>
    <row r="35" spans="1:29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</row>
    <row r="36" spans="1:29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</row>
    <row r="37" spans="1:29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</row>
    <row r="38" spans="1:29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</row>
    <row r="39" spans="1:29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</row>
    <row r="40" spans="1:29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</row>
    <row r="41" spans="1:29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</row>
    <row r="42" spans="1:29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</row>
    <row r="43" spans="1:29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</row>
    <row r="44" spans="1:29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</row>
    <row r="45" spans="1:29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9" x14ac:dyDescent="0.2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</row>
    <row r="47" spans="1:29" x14ac:dyDescent="0.2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</row>
    <row r="48" spans="1:29" x14ac:dyDescent="0.2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1:12" x14ac:dyDescent="0.2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</row>
    <row r="50" spans="1:12" x14ac:dyDescent="0.2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1:12" x14ac:dyDescent="0.2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1:12" x14ac:dyDescent="0.2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1:12" x14ac:dyDescent="0.2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1:12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1:12" x14ac:dyDescent="0.2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 x14ac:dyDescent="0.2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1:12" x14ac:dyDescent="0.2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1:12" x14ac:dyDescent="0.2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1:12" x14ac:dyDescent="0.2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1:12" x14ac:dyDescent="0.2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1:12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1:12" x14ac:dyDescent="0.2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1:12" x14ac:dyDescent="0.2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1:12" x14ac:dyDescent="0.2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1:12" x14ac:dyDescent="0.2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1:12" x14ac:dyDescent="0.2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1:12" x14ac:dyDescent="0.2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1:12" x14ac:dyDescent="0.2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1:12" x14ac:dyDescent="0.2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1:12" x14ac:dyDescent="0.2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1:12" x14ac:dyDescent="0.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1:12" x14ac:dyDescent="0.2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1:12" x14ac:dyDescent="0.2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x14ac:dyDescent="0.2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1:12" x14ac:dyDescent="0.2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1:12" x14ac:dyDescent="0.2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1:12" x14ac:dyDescent="0.2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1:12" x14ac:dyDescent="0.2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1:12" x14ac:dyDescent="0.2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1:12" x14ac:dyDescent="0.2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1:12" x14ac:dyDescent="0.2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1:12" x14ac:dyDescent="0.2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1:12" x14ac:dyDescent="0.2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1:12" x14ac:dyDescent="0.2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1:12" x14ac:dyDescent="0.2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1:12" x14ac:dyDescent="0.2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1:12" x14ac:dyDescent="0.2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1:12" x14ac:dyDescent="0.2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1:12" x14ac:dyDescent="0.2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2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1:12" x14ac:dyDescent="0.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1:12" x14ac:dyDescent="0.2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1:12" x14ac:dyDescent="0.2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1:12" x14ac:dyDescent="0.2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1:12" x14ac:dyDescent="0.2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1:12" x14ac:dyDescent="0.2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1:12" x14ac:dyDescent="0.2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1:12" x14ac:dyDescent="0.2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1:12" x14ac:dyDescent="0.2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1:12" x14ac:dyDescent="0.2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1:12" x14ac:dyDescent="0.2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1:12" x14ac:dyDescent="0.2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1:12" x14ac:dyDescent="0.2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1:12" x14ac:dyDescent="0.2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1:12" x14ac:dyDescent="0.2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7" ht="16.5" customHeight="1" x14ac:dyDescent="0.25">
      <c r="C1" s="1" t="s">
        <v>332</v>
      </c>
    </row>
    <row r="2" spans="2:7" ht="15.75" customHeight="1" x14ac:dyDescent="0.2">
      <c r="C2" s="3" t="s">
        <v>14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52</v>
      </c>
      <c r="D7" s="236">
        <v>43</v>
      </c>
      <c r="E7" s="39"/>
      <c r="F7" s="13"/>
    </row>
    <row r="8" spans="2:7" ht="15.75" customHeight="1" x14ac:dyDescent="0.2">
      <c r="B8" s="7"/>
      <c r="C8" s="12" t="s">
        <v>36</v>
      </c>
      <c r="D8" s="236">
        <v>10.45</v>
      </c>
      <c r="E8" s="39"/>
      <c r="F8" s="13"/>
    </row>
    <row r="9" spans="2:7" ht="15.75" customHeight="1" x14ac:dyDescent="0.2">
      <c r="B9" s="7"/>
      <c r="C9" s="12" t="s">
        <v>37</v>
      </c>
      <c r="D9" s="125">
        <v>435000</v>
      </c>
      <c r="E9" s="39"/>
      <c r="F9" s="13"/>
    </row>
    <row r="10" spans="2:7" ht="15.75" customHeight="1" x14ac:dyDescent="0.2">
      <c r="B10" s="7"/>
      <c r="C10" s="12" t="s">
        <v>6</v>
      </c>
      <c r="D10" s="310">
        <f>D13/D14</f>
        <v>130000</v>
      </c>
      <c r="E10" s="41"/>
      <c r="F10" s="44"/>
    </row>
    <row r="11" spans="2:7" ht="15.75" customHeight="1" x14ac:dyDescent="0.2">
      <c r="B11" s="7"/>
      <c r="C11" s="12" t="s">
        <v>7</v>
      </c>
      <c r="D11" s="121">
        <v>0.21</v>
      </c>
      <c r="E11" s="74"/>
      <c r="F11" s="45"/>
    </row>
    <row r="12" spans="2:7" ht="15.75" customHeight="1" x14ac:dyDescent="0.2">
      <c r="B12" s="7"/>
      <c r="C12" s="12" t="s">
        <v>177</v>
      </c>
      <c r="D12" s="121">
        <v>0.15</v>
      </c>
      <c r="E12" s="74"/>
      <c r="F12" s="45"/>
    </row>
    <row r="13" spans="2:7" ht="15.75" customHeight="1" x14ac:dyDescent="0.2">
      <c r="B13" s="7"/>
      <c r="C13" s="12" t="s">
        <v>22</v>
      </c>
      <c r="D13" s="109">
        <v>910000</v>
      </c>
      <c r="E13" s="74"/>
      <c r="F13" s="45"/>
    </row>
    <row r="14" spans="2:7" ht="15.75" customHeight="1" x14ac:dyDescent="0.2">
      <c r="B14" s="7"/>
      <c r="C14" s="12" t="s">
        <v>234</v>
      </c>
      <c r="D14" s="110">
        <v>7</v>
      </c>
      <c r="E14" s="74"/>
      <c r="F14" s="45"/>
    </row>
    <row r="15" spans="2:7" ht="15.75" customHeight="1" thickBot="1" x14ac:dyDescent="0.25">
      <c r="B15" s="9"/>
      <c r="C15" s="10"/>
      <c r="D15" s="10"/>
      <c r="E15" s="40"/>
      <c r="F15" s="13"/>
    </row>
    <row r="16" spans="2:7" ht="15.75" customHeight="1" x14ac:dyDescent="0.2"/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4"/>
      <c r="C19" s="55"/>
      <c r="D19" s="55"/>
      <c r="E19" s="16"/>
      <c r="F19" s="28"/>
    </row>
    <row r="20" spans="2:8" ht="15.75" customHeight="1" x14ac:dyDescent="0.25">
      <c r="B20" s="17"/>
      <c r="C20" s="18" t="s">
        <v>360</v>
      </c>
      <c r="D20" s="240">
        <f>((D9+D10)*(1-D11))/((D7-D8)*(1-D11))</f>
        <v>17357.910906298006</v>
      </c>
      <c r="E20" s="20"/>
      <c r="F20" s="28"/>
    </row>
    <row r="21" spans="2:8" ht="15.75" customHeight="1" x14ac:dyDescent="0.2">
      <c r="B21" s="17"/>
      <c r="C21" s="18"/>
      <c r="D21" s="18"/>
      <c r="E21" s="20"/>
      <c r="F21" s="28"/>
    </row>
    <row r="22" spans="2:8" ht="15.75" customHeight="1" x14ac:dyDescent="0.2">
      <c r="B22" s="17"/>
      <c r="C22" s="18" t="s">
        <v>232</v>
      </c>
      <c r="D22" s="209">
        <f>PMT(D12,D14,-D13)</f>
        <v>218727.93088565647</v>
      </c>
      <c r="E22" s="20"/>
      <c r="F22" s="28"/>
    </row>
    <row r="23" spans="2:8" ht="15.75" customHeight="1" x14ac:dyDescent="0.2">
      <c r="B23" s="17"/>
      <c r="C23" s="18"/>
      <c r="D23" s="215"/>
      <c r="E23" s="20"/>
      <c r="F23" s="28"/>
    </row>
    <row r="24" spans="2:8" ht="15.75" customHeight="1" x14ac:dyDescent="0.25">
      <c r="B24" s="17"/>
      <c r="C24" s="18" t="s">
        <v>361</v>
      </c>
      <c r="D24" s="239">
        <f>(D22+(D9*(1-D11))-(D10*D11))/((D7-D8)*(1-D11))</f>
        <v>20808.412797668887</v>
      </c>
      <c r="E24" s="20"/>
      <c r="F24" s="28"/>
    </row>
    <row r="25" spans="2:8" ht="15.75" customHeight="1" thickBot="1" x14ac:dyDescent="0.25">
      <c r="B25" s="23"/>
      <c r="C25" s="36"/>
      <c r="D25" s="49"/>
      <c r="E25" s="42"/>
      <c r="F25" s="28"/>
    </row>
    <row r="26" spans="2:8" ht="15.75" customHeight="1" x14ac:dyDescent="0.2">
      <c r="B26" s="28"/>
      <c r="C26" s="33"/>
      <c r="D26" s="34"/>
      <c r="E26" s="35"/>
      <c r="F26" s="32"/>
      <c r="G26" s="32"/>
      <c r="H26" s="28"/>
    </row>
    <row r="27" spans="2:8" ht="15.75" customHeight="1" x14ac:dyDescent="0.2">
      <c r="B27" s="28"/>
      <c r="C27" s="33"/>
      <c r="D27" s="34"/>
      <c r="E27" s="35"/>
      <c r="F27" s="32"/>
      <c r="G27" s="32"/>
      <c r="H27" s="28"/>
    </row>
    <row r="28" spans="2:8" ht="15.75" customHeight="1" x14ac:dyDescent="0.2">
      <c r="B28" s="28"/>
      <c r="C28" s="33"/>
      <c r="D28" s="34"/>
      <c r="E28" s="35"/>
      <c r="F28" s="32"/>
      <c r="G28" s="32"/>
      <c r="H28" s="28"/>
    </row>
    <row r="29" spans="2:8" ht="15.75" customHeight="1" x14ac:dyDescent="0.2">
      <c r="B29" s="28"/>
      <c r="C29" s="28"/>
      <c r="D29" s="28"/>
      <c r="E29" s="28"/>
      <c r="F29" s="28"/>
      <c r="G29" s="28"/>
      <c r="H29" s="28"/>
    </row>
    <row r="30" spans="2:8" ht="15.75" customHeight="1" x14ac:dyDescent="0.2">
      <c r="B30" s="13"/>
      <c r="C30" s="13"/>
      <c r="D30" s="13"/>
      <c r="E30" s="13"/>
      <c r="F30" s="13"/>
      <c r="G30" s="13"/>
      <c r="H30" s="13"/>
    </row>
    <row r="31" spans="2:8" ht="15.75" customHeight="1" x14ac:dyDescent="0.2"/>
    <row r="32" spans="2:8" ht="15.75" customHeight="1" x14ac:dyDescent="0.2">
      <c r="D32" s="2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7" ht="16.5" customHeight="1" x14ac:dyDescent="0.25">
      <c r="C1" s="1" t="s">
        <v>332</v>
      </c>
    </row>
    <row r="2" spans="2:7" ht="15.75" customHeight="1" x14ac:dyDescent="0.2">
      <c r="C2" s="3" t="s">
        <v>15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234</v>
      </c>
      <c r="D7" s="110">
        <v>5</v>
      </c>
      <c r="E7" s="39"/>
      <c r="F7" s="13"/>
    </row>
    <row r="8" spans="2:7" ht="15.75" customHeight="1" x14ac:dyDescent="0.2">
      <c r="B8" s="7"/>
      <c r="C8" s="12" t="s">
        <v>22</v>
      </c>
      <c r="D8" s="109">
        <v>530000</v>
      </c>
      <c r="E8" s="39"/>
      <c r="F8" s="13"/>
    </row>
    <row r="9" spans="2:7" ht="15.75" customHeight="1" x14ac:dyDescent="0.2">
      <c r="B9" s="7"/>
      <c r="C9" s="12" t="s">
        <v>52</v>
      </c>
      <c r="D9" s="236">
        <v>75</v>
      </c>
      <c r="E9" s="39"/>
      <c r="F9" s="13"/>
    </row>
    <row r="10" spans="2:7" ht="15.75" customHeight="1" x14ac:dyDescent="0.2">
      <c r="B10" s="7"/>
      <c r="C10" s="12" t="s">
        <v>36</v>
      </c>
      <c r="D10" s="236">
        <v>27</v>
      </c>
      <c r="E10" s="39"/>
      <c r="F10" s="13"/>
    </row>
    <row r="11" spans="2:7" ht="15.75" customHeight="1" x14ac:dyDescent="0.2">
      <c r="B11" s="7"/>
      <c r="C11" s="12" t="s">
        <v>37</v>
      </c>
      <c r="D11" s="125">
        <v>235000</v>
      </c>
      <c r="E11" s="39"/>
      <c r="F11" s="13"/>
    </row>
    <row r="12" spans="2:7" ht="15.75" customHeight="1" x14ac:dyDescent="0.2">
      <c r="B12" s="7"/>
      <c r="C12" s="12" t="s">
        <v>7</v>
      </c>
      <c r="D12" s="121">
        <v>0.21</v>
      </c>
      <c r="E12" s="74"/>
      <c r="F12" s="45"/>
    </row>
    <row r="13" spans="2:7" ht="15.75" customHeight="1" x14ac:dyDescent="0.2">
      <c r="B13" s="7"/>
      <c r="C13" s="12" t="s">
        <v>177</v>
      </c>
      <c r="D13" s="121">
        <v>0.08</v>
      </c>
      <c r="E13" s="74"/>
      <c r="F13" s="45"/>
    </row>
    <row r="14" spans="2:7" ht="15.75" customHeight="1" thickBot="1" x14ac:dyDescent="0.25">
      <c r="B14" s="9"/>
      <c r="C14" s="10"/>
      <c r="D14" s="10"/>
      <c r="E14" s="40"/>
      <c r="F14" s="13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4"/>
      <c r="C18" s="55"/>
      <c r="D18" s="55"/>
      <c r="E18" s="16"/>
      <c r="F18" s="28"/>
    </row>
    <row r="19" spans="2:8" ht="15.75" customHeight="1" x14ac:dyDescent="0.2">
      <c r="B19" s="17"/>
      <c r="C19" s="18" t="s">
        <v>6</v>
      </c>
      <c r="D19" s="291">
        <f>D8/D7</f>
        <v>106000</v>
      </c>
      <c r="E19" s="20"/>
      <c r="F19" s="28"/>
    </row>
    <row r="20" spans="2:8" ht="15.75" customHeight="1" x14ac:dyDescent="0.2">
      <c r="B20" s="17"/>
      <c r="C20" s="18" t="s">
        <v>232</v>
      </c>
      <c r="D20" s="209">
        <f>PMT(D13,D7,-D8)</f>
        <v>132741.92092042338</v>
      </c>
      <c r="E20" s="20"/>
      <c r="F20" s="28"/>
    </row>
    <row r="21" spans="2:8" ht="15.75" customHeight="1" x14ac:dyDescent="0.2">
      <c r="B21" s="17"/>
      <c r="C21" s="290"/>
      <c r="D21" s="215"/>
      <c r="E21" s="20"/>
      <c r="F21" s="28"/>
    </row>
    <row r="22" spans="2:8" ht="15.75" customHeight="1" x14ac:dyDescent="0.25">
      <c r="B22" s="17"/>
      <c r="C22" s="18" t="s">
        <v>361</v>
      </c>
      <c r="D22" s="239">
        <f>(D20+(D11*(1-D12))-(D19*D12))/((D9-D10)*(1-D12))</f>
        <v>7809.3861002221347</v>
      </c>
      <c r="E22" s="20"/>
      <c r="F22" s="28"/>
    </row>
    <row r="23" spans="2:8" ht="15.75" customHeight="1" thickBot="1" x14ac:dyDescent="0.25">
      <c r="B23" s="23"/>
      <c r="C23" s="36"/>
      <c r="D23" s="49"/>
      <c r="E23" s="42"/>
      <c r="F23" s="28"/>
    </row>
    <row r="24" spans="2:8" ht="15.75" customHeight="1" x14ac:dyDescent="0.2">
      <c r="B24" s="28"/>
      <c r="C24" s="33"/>
      <c r="D24" s="34"/>
      <c r="E24" s="35"/>
      <c r="F24" s="32"/>
      <c r="G24" s="32"/>
      <c r="H24" s="28"/>
    </row>
    <row r="25" spans="2:8" ht="15.75" customHeight="1" x14ac:dyDescent="0.2">
      <c r="B25" s="28"/>
      <c r="C25" s="33"/>
      <c r="D25" s="34"/>
      <c r="E25" s="35"/>
      <c r="F25" s="32"/>
      <c r="G25" s="32"/>
      <c r="H25" s="28"/>
    </row>
    <row r="26" spans="2:8" ht="15.75" customHeight="1" x14ac:dyDescent="0.2">
      <c r="B26" s="28"/>
      <c r="C26" s="33"/>
      <c r="D26" s="34"/>
      <c r="E26" s="35"/>
      <c r="F26" s="32"/>
      <c r="G26" s="32"/>
      <c r="H26" s="28"/>
    </row>
    <row r="27" spans="2:8" ht="15.75" customHeight="1" x14ac:dyDescent="0.2">
      <c r="B27" s="28"/>
      <c r="C27" s="28"/>
      <c r="D27" s="28"/>
      <c r="E27" s="28"/>
      <c r="F27" s="28"/>
      <c r="G27" s="28"/>
      <c r="H27" s="28"/>
    </row>
    <row r="28" spans="2:8" ht="15.75" customHeight="1" x14ac:dyDescent="0.2">
      <c r="B28" s="13"/>
      <c r="C28" s="13"/>
      <c r="D28" s="13"/>
      <c r="E28" s="13"/>
      <c r="F28" s="13"/>
      <c r="G28" s="13"/>
      <c r="H28" s="13"/>
    </row>
    <row r="29" spans="2:8" ht="15.75" customHeight="1" x14ac:dyDescent="0.2"/>
    <row r="30" spans="2:8" ht="15.75" customHeight="1" x14ac:dyDescent="0.2">
      <c r="D30" s="26"/>
    </row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8.7109375" customWidth="1"/>
    <col min="4" max="4" width="25" customWidth="1"/>
    <col min="5" max="5" width="33" bestFit="1" customWidth="1"/>
    <col min="6" max="6" width="3.140625" customWidth="1"/>
  </cols>
  <sheetData>
    <row r="1" spans="2:7" ht="18" customHeight="1" x14ac:dyDescent="0.25">
      <c r="C1" s="1" t="s">
        <v>332</v>
      </c>
    </row>
    <row r="2" spans="2:7" ht="15.75" customHeight="1" x14ac:dyDescent="0.2">
      <c r="C2" s="3" t="s">
        <v>16</v>
      </c>
    </row>
    <row r="3" spans="2:7" ht="15.75" customHeight="1" x14ac:dyDescent="0.2"/>
    <row r="4" spans="2:7" ht="15.75" customHeight="1" x14ac:dyDescent="0.2">
      <c r="C4" s="2" t="s">
        <v>2</v>
      </c>
    </row>
    <row r="5" spans="2:7" ht="15.75" customHeight="1" thickBot="1" x14ac:dyDescent="0.25"/>
    <row r="6" spans="2:7" ht="15.75" customHeight="1" x14ac:dyDescent="0.2">
      <c r="B6" s="14"/>
      <c r="C6" s="15"/>
      <c r="D6" s="15"/>
      <c r="E6" s="165"/>
      <c r="F6" s="16"/>
    </row>
    <row r="7" spans="2:7" ht="18.75" customHeight="1" x14ac:dyDescent="0.35">
      <c r="B7" s="123" t="s">
        <v>48</v>
      </c>
      <c r="C7" s="161" t="s">
        <v>93</v>
      </c>
      <c r="D7" s="162" t="s">
        <v>356</v>
      </c>
      <c r="E7" s="314" t="s">
        <v>355</v>
      </c>
      <c r="F7" s="21"/>
      <c r="G7" s="3"/>
    </row>
    <row r="8" spans="2:7" ht="15.75" customHeight="1" x14ac:dyDescent="0.2">
      <c r="B8" s="123"/>
      <c r="C8" s="53"/>
      <c r="D8" s="163"/>
      <c r="E8" s="166"/>
      <c r="F8" s="21"/>
      <c r="G8" s="3"/>
    </row>
    <row r="9" spans="2:7" ht="15.75" customHeight="1" x14ac:dyDescent="0.2">
      <c r="B9" s="123" t="s">
        <v>49</v>
      </c>
      <c r="C9" s="53" t="s">
        <v>358</v>
      </c>
      <c r="D9" s="163" t="s">
        <v>357</v>
      </c>
      <c r="E9" s="166" t="s">
        <v>94</v>
      </c>
      <c r="F9" s="21"/>
      <c r="G9" s="3"/>
    </row>
    <row r="10" spans="2:7" ht="15.75" customHeight="1" thickBot="1" x14ac:dyDescent="0.25">
      <c r="B10" s="27"/>
      <c r="C10" s="107"/>
      <c r="D10" s="107"/>
      <c r="E10" s="107"/>
      <c r="F10" s="108"/>
      <c r="G10" s="3"/>
    </row>
    <row r="11" spans="2:7" ht="15.75" customHeight="1" x14ac:dyDescent="0.2">
      <c r="C11" s="3"/>
      <c r="D11" s="116"/>
      <c r="E11" s="3"/>
      <c r="F11" s="3"/>
      <c r="G11" s="3"/>
    </row>
    <row r="12" spans="2:7" ht="15.75" customHeight="1" x14ac:dyDescent="0.2">
      <c r="C12" s="3"/>
      <c r="D12" s="3"/>
    </row>
    <row r="13" spans="2:7" ht="15.75" customHeight="1" x14ac:dyDescent="0.2">
      <c r="C13" s="3"/>
      <c r="D13" s="3"/>
    </row>
    <row r="14" spans="2:7" ht="15.75" customHeight="1" x14ac:dyDescent="0.2">
      <c r="C14" s="3"/>
      <c r="D14" s="3"/>
    </row>
    <row r="15" spans="2:7" ht="15.75" customHeight="1" x14ac:dyDescent="0.2">
      <c r="C15" s="3"/>
      <c r="D15" s="3"/>
    </row>
    <row r="16" spans="2:7" ht="15.75" customHeight="1" x14ac:dyDescent="0.2">
      <c r="C16" s="3"/>
      <c r="D16" s="3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phoneticPr fontId="0" type="noConversion"/>
  <pageMargins left="0.75" right="0.75" top="1" bottom="1" header="0.5" footer="0.5"/>
  <pageSetup orientation="portrait" horizontalDpi="360" verticalDpi="360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9.85546875" bestFit="1" customWidth="1"/>
    <col min="4" max="4" width="11" bestFit="1" customWidth="1"/>
    <col min="5" max="5" width="5.85546875" bestFit="1" customWidth="1"/>
    <col min="6" max="6" width="18.140625" customWidth="1"/>
    <col min="7" max="7" width="3.140625" customWidth="1"/>
    <col min="10" max="10" width="9.140625" customWidth="1"/>
  </cols>
  <sheetData>
    <row r="1" spans="2:9" ht="18.75" customHeight="1" x14ac:dyDescent="0.25">
      <c r="C1" s="1" t="s">
        <v>332</v>
      </c>
      <c r="D1" s="1"/>
      <c r="E1" s="1"/>
    </row>
    <row r="2" spans="2:9" ht="15.75" customHeight="1" x14ac:dyDescent="0.2">
      <c r="C2" s="3" t="s">
        <v>19</v>
      </c>
      <c r="D2" s="3"/>
      <c r="E2" s="3"/>
    </row>
    <row r="3" spans="2:9" ht="15.75" customHeight="1" x14ac:dyDescent="0.2"/>
    <row r="4" spans="2:9" ht="15.75" customHeight="1" x14ac:dyDescent="0.2">
      <c r="C4" s="2" t="s">
        <v>1</v>
      </c>
      <c r="D4" s="2"/>
      <c r="E4" s="2"/>
    </row>
    <row r="5" spans="2:9" ht="15.75" customHeight="1" thickBot="1" x14ac:dyDescent="0.25"/>
    <row r="6" spans="2:9" ht="15.75" customHeight="1" x14ac:dyDescent="0.2">
      <c r="B6" s="4"/>
      <c r="C6" s="5"/>
      <c r="D6" s="5"/>
      <c r="E6" s="5"/>
      <c r="F6" s="5"/>
      <c r="G6" s="6"/>
    </row>
    <row r="7" spans="2:9" ht="15.75" customHeight="1" x14ac:dyDescent="0.2">
      <c r="B7" s="7"/>
      <c r="C7" s="12" t="s">
        <v>157</v>
      </c>
      <c r="D7" s="12"/>
      <c r="E7" s="12"/>
      <c r="F7" s="65">
        <v>485000</v>
      </c>
      <c r="G7" s="8"/>
    </row>
    <row r="8" spans="2:9" ht="15.75" customHeight="1" x14ac:dyDescent="0.2">
      <c r="B8" s="7"/>
      <c r="C8" s="12" t="s">
        <v>234</v>
      </c>
      <c r="D8" s="12"/>
      <c r="E8" s="12"/>
      <c r="F8" s="210">
        <v>4</v>
      </c>
      <c r="G8" s="8"/>
    </row>
    <row r="9" spans="2:9" ht="15.75" customHeight="1" x14ac:dyDescent="0.2">
      <c r="B9" s="7"/>
      <c r="C9" s="12" t="s">
        <v>90</v>
      </c>
      <c r="D9" s="12"/>
      <c r="E9" s="12"/>
      <c r="F9" s="65">
        <v>41</v>
      </c>
      <c r="G9" s="8"/>
      <c r="I9" s="50"/>
    </row>
    <row r="10" spans="2:9" ht="15.75" customHeight="1" x14ac:dyDescent="0.2">
      <c r="B10" s="7"/>
      <c r="C10" s="12" t="s">
        <v>36</v>
      </c>
      <c r="D10" s="12"/>
      <c r="E10" s="12"/>
      <c r="F10" s="65">
        <v>24</v>
      </c>
      <c r="G10" s="8"/>
    </row>
    <row r="11" spans="2:9" ht="15.75" customHeight="1" x14ac:dyDescent="0.2">
      <c r="B11" s="7"/>
      <c r="C11" s="12" t="s">
        <v>37</v>
      </c>
      <c r="D11" s="12"/>
      <c r="E11" s="12"/>
      <c r="F11" s="65">
        <v>189000</v>
      </c>
      <c r="G11" s="8"/>
    </row>
    <row r="12" spans="2:9" ht="15.75" customHeight="1" x14ac:dyDescent="0.2">
      <c r="B12" s="7"/>
      <c r="C12" s="12" t="s">
        <v>158</v>
      </c>
      <c r="D12" s="12"/>
      <c r="E12" s="12"/>
      <c r="F12" s="73">
        <v>90000</v>
      </c>
      <c r="G12" s="8"/>
    </row>
    <row r="13" spans="2:9" ht="15.75" customHeight="1" x14ac:dyDescent="0.2">
      <c r="B13" s="7"/>
      <c r="C13" s="12" t="s">
        <v>7</v>
      </c>
      <c r="D13" s="12"/>
      <c r="E13" s="12"/>
      <c r="F13" s="121">
        <v>0.23</v>
      </c>
      <c r="G13" s="8"/>
    </row>
    <row r="14" spans="2:9" ht="15.75" customHeight="1" x14ac:dyDescent="0.2">
      <c r="B14" s="7"/>
      <c r="C14" s="12" t="s">
        <v>159</v>
      </c>
      <c r="D14" s="12"/>
      <c r="E14" s="12"/>
      <c r="F14" s="110">
        <v>1000</v>
      </c>
      <c r="G14" s="8"/>
    </row>
    <row r="15" spans="2:9" ht="15.75" customHeight="1" thickBot="1" x14ac:dyDescent="0.25">
      <c r="B15" s="9"/>
      <c r="C15" s="10"/>
      <c r="D15" s="10"/>
      <c r="E15" s="10"/>
      <c r="F15" s="10"/>
      <c r="G15" s="11"/>
    </row>
    <row r="16" spans="2:9" ht="15.75" customHeight="1" x14ac:dyDescent="0.2"/>
    <row r="17" spans="2:10" ht="15.75" customHeight="1" x14ac:dyDescent="0.2">
      <c r="C17" s="2" t="s">
        <v>2</v>
      </c>
      <c r="D17" s="2"/>
      <c r="E17" s="2"/>
    </row>
    <row r="18" spans="2:10" ht="15.75" customHeight="1" thickBot="1" x14ac:dyDescent="0.25"/>
    <row r="19" spans="2:10" ht="15.75" customHeight="1" x14ac:dyDescent="0.2">
      <c r="B19" s="14"/>
      <c r="C19" s="15"/>
      <c r="D19" s="15"/>
      <c r="E19" s="15"/>
      <c r="F19" s="15"/>
      <c r="G19" s="16"/>
      <c r="H19" s="28"/>
      <c r="I19" s="28"/>
      <c r="J19" s="28"/>
    </row>
    <row r="20" spans="2:10" ht="15.75" customHeight="1" x14ac:dyDescent="0.2">
      <c r="B20" s="17"/>
      <c r="C20" s="18" t="s">
        <v>92</v>
      </c>
      <c r="D20" s="62">
        <f>F12</f>
        <v>90000</v>
      </c>
      <c r="E20" s="18" t="s">
        <v>160</v>
      </c>
      <c r="F20" s="137">
        <f>(((F9-F10)*D20)-F11)*(1-F13)+(F13*(F7/F8))</f>
        <v>1060457.5</v>
      </c>
      <c r="G20" s="20"/>
      <c r="H20" s="28"/>
      <c r="I20" s="28"/>
      <c r="J20" s="28"/>
    </row>
    <row r="21" spans="2:10" ht="15.75" customHeight="1" x14ac:dyDescent="0.2">
      <c r="B21" s="17"/>
      <c r="C21" s="18" t="s">
        <v>92</v>
      </c>
      <c r="D21" s="62">
        <f>F12+F14</f>
        <v>91000</v>
      </c>
      <c r="E21" s="18" t="s">
        <v>160</v>
      </c>
      <c r="F21" s="137">
        <f>(((F9-F10)*D21)-F11)*(1-F13)+(F13*(F7/F8))</f>
        <v>1073547.5</v>
      </c>
      <c r="G21" s="20"/>
      <c r="H21" s="28"/>
      <c r="I21" s="28"/>
      <c r="J21" s="28"/>
    </row>
    <row r="22" spans="2:10" ht="15.75" customHeight="1" x14ac:dyDescent="0.2">
      <c r="B22" s="17"/>
      <c r="C22" s="18"/>
      <c r="D22" s="62"/>
      <c r="E22" s="18"/>
      <c r="F22" s="137"/>
      <c r="G22" s="20"/>
      <c r="H22" s="28"/>
      <c r="I22" s="28"/>
      <c r="J22" s="28"/>
    </row>
    <row r="23" spans="2:10" ht="15.75" customHeight="1" x14ac:dyDescent="0.25">
      <c r="B23" s="17"/>
      <c r="C23" s="141" t="s">
        <v>95</v>
      </c>
      <c r="D23" s="293">
        <f>(F20-F21)/(D20-D21)</f>
        <v>13.09</v>
      </c>
      <c r="E23" s="18"/>
      <c r="F23" s="137"/>
      <c r="G23" s="20"/>
      <c r="H23" s="28"/>
      <c r="I23" s="28"/>
      <c r="J23" s="28"/>
    </row>
    <row r="24" spans="2:10" ht="15.75" customHeight="1" thickBot="1" x14ac:dyDescent="0.3">
      <c r="B24" s="17"/>
      <c r="C24" s="18"/>
      <c r="D24" s="18"/>
      <c r="E24" s="18"/>
      <c r="F24" s="134"/>
      <c r="G24" s="20"/>
      <c r="H24" s="28"/>
      <c r="I24" s="28"/>
      <c r="J24" s="28"/>
    </row>
    <row r="25" spans="2:10" ht="15.75" customHeight="1" x14ac:dyDescent="0.25">
      <c r="B25" s="211"/>
      <c r="C25" s="212"/>
      <c r="D25" s="212"/>
      <c r="E25" s="212"/>
      <c r="F25" s="213"/>
      <c r="G25" s="211"/>
      <c r="H25" s="28"/>
      <c r="I25" s="28"/>
      <c r="J25" s="28"/>
    </row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6" width="18.140625" customWidth="1"/>
    <col min="7" max="7" width="3.140625" customWidth="1"/>
    <col min="8" max="8" width="9.140625" customWidth="1"/>
  </cols>
  <sheetData>
    <row r="1" spans="2:7" ht="19.5" customHeight="1" x14ac:dyDescent="0.25">
      <c r="C1" s="1" t="s">
        <v>332</v>
      </c>
    </row>
    <row r="2" spans="2:7" ht="15.75" customHeight="1" x14ac:dyDescent="0.2">
      <c r="C2" s="3" t="s">
        <v>20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4"/>
      <c r="C6" s="5"/>
      <c r="D6" s="5"/>
      <c r="E6" s="6"/>
    </row>
    <row r="7" spans="2:7" ht="15.75" customHeight="1" x14ac:dyDescent="0.2">
      <c r="B7" s="7"/>
      <c r="C7" s="12" t="s">
        <v>61</v>
      </c>
      <c r="D7" s="125">
        <v>720000</v>
      </c>
      <c r="E7" s="8"/>
      <c r="G7" s="50"/>
    </row>
    <row r="8" spans="2:7" ht="15.75" customHeight="1" x14ac:dyDescent="0.2">
      <c r="B8" s="7"/>
      <c r="C8" s="12" t="s">
        <v>24</v>
      </c>
      <c r="D8" s="73">
        <v>4</v>
      </c>
      <c r="E8" s="8"/>
      <c r="G8" s="50"/>
    </row>
    <row r="9" spans="2:7" ht="15.75" customHeight="1" x14ac:dyDescent="0.2">
      <c r="B9" s="7"/>
      <c r="C9" s="12" t="s">
        <v>59</v>
      </c>
      <c r="D9" s="73">
        <v>380</v>
      </c>
      <c r="E9" s="8"/>
      <c r="G9" s="50"/>
    </row>
    <row r="10" spans="2:7" ht="15.75" customHeight="1" x14ac:dyDescent="0.2">
      <c r="B10" s="7"/>
      <c r="C10" s="12" t="s">
        <v>53</v>
      </c>
      <c r="D10" s="65">
        <v>17400</v>
      </c>
      <c r="E10" s="8"/>
      <c r="G10" s="50"/>
    </row>
    <row r="11" spans="2:7" ht="15.75" customHeight="1" x14ac:dyDescent="0.2">
      <c r="B11" s="7"/>
      <c r="C11" s="12" t="s">
        <v>54</v>
      </c>
      <c r="D11" s="65">
        <v>14100</v>
      </c>
      <c r="E11" s="8"/>
    </row>
    <row r="12" spans="2:7" ht="15.75" customHeight="1" x14ac:dyDescent="0.2">
      <c r="B12" s="7"/>
      <c r="C12" s="12" t="s">
        <v>37</v>
      </c>
      <c r="D12" s="65">
        <v>680000</v>
      </c>
      <c r="E12" s="8"/>
    </row>
    <row r="13" spans="2:7" ht="15.75" customHeight="1" x14ac:dyDescent="0.2">
      <c r="B13" s="7"/>
      <c r="C13" s="12" t="s">
        <v>17</v>
      </c>
      <c r="D13" s="121">
        <v>0.15</v>
      </c>
      <c r="E13" s="8"/>
    </row>
    <row r="14" spans="2:7" ht="15.75" customHeight="1" x14ac:dyDescent="0.2">
      <c r="B14" s="7"/>
      <c r="C14" s="12" t="s">
        <v>7</v>
      </c>
      <c r="D14" s="121">
        <v>0.21</v>
      </c>
      <c r="E14" s="8"/>
    </row>
    <row r="15" spans="2:7" ht="15.75" customHeight="1" x14ac:dyDescent="0.2">
      <c r="B15" s="124" t="s">
        <v>48</v>
      </c>
      <c r="C15" s="12" t="s">
        <v>96</v>
      </c>
      <c r="D15" s="121">
        <v>0.1</v>
      </c>
      <c r="E15" s="8"/>
    </row>
    <row r="16" spans="2:7" ht="15.75" customHeight="1" x14ac:dyDescent="0.2">
      <c r="B16" s="7"/>
      <c r="C16" s="12" t="s">
        <v>82</v>
      </c>
      <c r="D16" s="121">
        <v>0.1</v>
      </c>
      <c r="E16" s="8"/>
    </row>
    <row r="17" spans="2:8" ht="15.75" customHeight="1" x14ac:dyDescent="0.2">
      <c r="B17" s="7"/>
      <c r="C17" s="12" t="s">
        <v>83</v>
      </c>
      <c r="D17" s="121">
        <v>0.1</v>
      </c>
      <c r="E17" s="8"/>
    </row>
    <row r="18" spans="2:8" ht="15.75" customHeight="1" x14ac:dyDescent="0.2">
      <c r="B18" s="124" t="s">
        <v>49</v>
      </c>
      <c r="C18" s="12" t="s">
        <v>97</v>
      </c>
      <c r="D18" s="125">
        <v>690000</v>
      </c>
      <c r="E18" s="8"/>
    </row>
    <row r="19" spans="2:8" ht="15.75" customHeight="1" thickBot="1" x14ac:dyDescent="0.25">
      <c r="B19" s="9"/>
      <c r="C19" s="52"/>
      <c r="D19" s="52"/>
      <c r="E19" s="11"/>
    </row>
    <row r="20" spans="2:8" ht="15.75" customHeight="1" x14ac:dyDescent="0.2">
      <c r="B20" s="51"/>
      <c r="E20" s="51"/>
    </row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14"/>
      <c r="C23" s="15"/>
      <c r="D23" s="15"/>
      <c r="E23" s="15"/>
      <c r="F23" s="173"/>
      <c r="G23" s="150"/>
    </row>
    <row r="24" spans="2:8" ht="15.75" customHeight="1" x14ac:dyDescent="0.35">
      <c r="B24" s="56"/>
      <c r="C24" s="18"/>
      <c r="D24" s="169" t="s">
        <v>98</v>
      </c>
      <c r="E24" s="170"/>
      <c r="F24" s="170" t="s">
        <v>99</v>
      </c>
      <c r="G24" s="21"/>
      <c r="H24" s="29"/>
    </row>
    <row r="25" spans="2:8" ht="15.75" customHeight="1" x14ac:dyDescent="0.2">
      <c r="B25" s="123" t="s">
        <v>48</v>
      </c>
      <c r="C25" s="18" t="s">
        <v>59</v>
      </c>
      <c r="D25" s="214">
        <f>D9*(1+D15)</f>
        <v>418.00000000000006</v>
      </c>
      <c r="E25" s="62"/>
      <c r="F25" s="62">
        <f>D9*(1-D15)</f>
        <v>342</v>
      </c>
      <c r="G25" s="21"/>
      <c r="H25" s="29"/>
    </row>
    <row r="26" spans="2:8" ht="15.75" customHeight="1" x14ac:dyDescent="0.2">
      <c r="B26" s="56"/>
      <c r="C26" s="18" t="s">
        <v>54</v>
      </c>
      <c r="D26" s="75">
        <f>D11*(1+D16)</f>
        <v>15510.000000000002</v>
      </c>
      <c r="E26" s="61"/>
      <c r="F26" s="61">
        <f>D11*(1-D16)</f>
        <v>12690</v>
      </c>
      <c r="G26" s="21"/>
      <c r="H26" s="29"/>
    </row>
    <row r="27" spans="2:8" ht="15.75" customHeight="1" x14ac:dyDescent="0.2">
      <c r="B27" s="56"/>
      <c r="C27" s="18" t="s">
        <v>37</v>
      </c>
      <c r="D27" s="75">
        <f>D12*(1+D17)</f>
        <v>748000.00000000012</v>
      </c>
      <c r="E27" s="61"/>
      <c r="F27" s="61">
        <f>D12*(1-D17)</f>
        <v>612000</v>
      </c>
      <c r="G27" s="21"/>
      <c r="H27" s="29"/>
    </row>
    <row r="28" spans="2:8" ht="15.75" customHeight="1" x14ac:dyDescent="0.2">
      <c r="B28" s="56"/>
      <c r="C28" s="18"/>
      <c r="D28" s="120"/>
      <c r="E28" s="18"/>
      <c r="F28" s="18"/>
      <c r="G28" s="21"/>
      <c r="H28" s="29"/>
    </row>
    <row r="29" spans="2:8" ht="15.75" customHeight="1" x14ac:dyDescent="0.2">
      <c r="B29" s="56"/>
      <c r="C29" s="18" t="s">
        <v>6</v>
      </c>
      <c r="D29" s="167">
        <f>D7/D8</f>
        <v>180000</v>
      </c>
      <c r="E29" s="18"/>
      <c r="F29" s="18"/>
      <c r="G29" s="21"/>
      <c r="H29" s="29"/>
    </row>
    <row r="30" spans="2:8" ht="15.75" customHeight="1" x14ac:dyDescent="0.2">
      <c r="B30" s="56"/>
      <c r="C30" s="18"/>
      <c r="D30" s="120"/>
      <c r="E30" s="18"/>
      <c r="F30" s="18"/>
      <c r="G30" s="21"/>
      <c r="H30" s="29"/>
    </row>
    <row r="31" spans="2:8" ht="15.75" customHeight="1" x14ac:dyDescent="0.2">
      <c r="B31" s="56"/>
      <c r="C31" s="18" t="s">
        <v>101</v>
      </c>
      <c r="D31" s="120">
        <f>(((($D$10-$D$11)*$D$9)-$D$12)*(1-$D$14))+($D$14*$D$29)</f>
        <v>491260</v>
      </c>
      <c r="E31" s="18"/>
      <c r="F31" s="18"/>
      <c r="G31" s="21"/>
      <c r="H31" s="29"/>
    </row>
    <row r="32" spans="2:8" ht="15.75" customHeight="1" x14ac:dyDescent="0.25">
      <c r="B32" s="56"/>
      <c r="C32" s="18" t="s">
        <v>102</v>
      </c>
      <c r="D32" s="118">
        <f>-D7+PV(D13,D8,-D31)</f>
        <v>682536.67046644306</v>
      </c>
      <c r="E32" s="18"/>
      <c r="F32" s="18"/>
      <c r="G32" s="21"/>
      <c r="H32" s="29"/>
    </row>
    <row r="33" spans="2:8" ht="15.75" customHeight="1" x14ac:dyDescent="0.2">
      <c r="B33" s="56"/>
      <c r="C33" s="18"/>
      <c r="D33" s="120"/>
      <c r="E33" s="18"/>
      <c r="F33" s="18"/>
      <c r="G33" s="21"/>
      <c r="H33" s="29"/>
    </row>
    <row r="34" spans="2:8" ht="15.75" customHeight="1" x14ac:dyDescent="0.2">
      <c r="B34" s="56"/>
      <c r="C34" s="18" t="s">
        <v>100</v>
      </c>
      <c r="D34" s="120">
        <f>((((D10-F26)*D25)-F27)*(1-D14))+(D14*D29)</f>
        <v>1109656.2000000002</v>
      </c>
      <c r="E34" s="18"/>
      <c r="F34" s="18"/>
      <c r="G34" s="21"/>
      <c r="H34" s="29"/>
    </row>
    <row r="35" spans="2:8" ht="15.75" customHeight="1" x14ac:dyDescent="0.25">
      <c r="B35" s="56"/>
      <c r="C35" s="18" t="s">
        <v>100</v>
      </c>
      <c r="D35" s="118">
        <f>-D7+PV(D13,D8,-D34)</f>
        <v>2448044.4410504531</v>
      </c>
      <c r="E35" s="18"/>
      <c r="F35" s="18"/>
      <c r="G35" s="21"/>
      <c r="H35" s="29"/>
    </row>
    <row r="36" spans="2:8" ht="15.75" customHeight="1" x14ac:dyDescent="0.2">
      <c r="B36" s="56"/>
      <c r="C36" s="18"/>
      <c r="D36" s="120"/>
      <c r="E36" s="18"/>
      <c r="F36" s="18"/>
      <c r="G36" s="21"/>
      <c r="H36" s="29"/>
    </row>
    <row r="37" spans="2:8" ht="15.75" customHeight="1" x14ac:dyDescent="0.2">
      <c r="B37" s="56"/>
      <c r="C37" s="18" t="s">
        <v>103</v>
      </c>
      <c r="D37" s="120">
        <f>((((D10-D26)*F25)-D27)*(1-D14))+(D14*D29)</f>
        <v>-42479.800000000556</v>
      </c>
      <c r="E37" s="18"/>
      <c r="F37" s="18"/>
      <c r="G37" s="21"/>
      <c r="H37" s="29"/>
    </row>
    <row r="38" spans="2:8" ht="15.75" customHeight="1" x14ac:dyDescent="0.25">
      <c r="B38" s="56"/>
      <c r="C38" s="18" t="s">
        <v>104</v>
      </c>
      <c r="D38" s="118">
        <f>-D7+PV(D13,D8,-D37)</f>
        <v>-841278.90985238203</v>
      </c>
      <c r="E38" s="18"/>
      <c r="F38" s="18"/>
      <c r="G38" s="21"/>
      <c r="H38" s="29"/>
    </row>
    <row r="39" spans="2:8" ht="15.75" customHeight="1" x14ac:dyDescent="0.2">
      <c r="B39" s="56"/>
      <c r="C39" s="18"/>
      <c r="D39" s="120"/>
      <c r="E39" s="18"/>
      <c r="F39" s="18"/>
      <c r="G39" s="21"/>
      <c r="H39" s="29"/>
    </row>
    <row r="40" spans="2:8" ht="15.75" customHeight="1" x14ac:dyDescent="0.2">
      <c r="B40" s="123" t="s">
        <v>49</v>
      </c>
      <c r="C40" s="18" t="s">
        <v>105</v>
      </c>
      <c r="D40" s="294">
        <f>D18</f>
        <v>690000</v>
      </c>
      <c r="E40" s="18"/>
      <c r="F40" s="18"/>
      <c r="G40" s="21"/>
      <c r="H40" s="29"/>
    </row>
    <row r="41" spans="2:8" ht="15.75" customHeight="1" x14ac:dyDescent="0.2">
      <c r="B41" s="56"/>
      <c r="C41" s="18" t="s">
        <v>9</v>
      </c>
      <c r="D41" s="120">
        <f>(((($D$10-$D$11)*$D$9)-D18)*(1-$D$14))+($D$14*$D$29)</f>
        <v>483360</v>
      </c>
      <c r="E41" s="18"/>
      <c r="F41" s="18"/>
      <c r="G41" s="21"/>
      <c r="H41" s="29"/>
    </row>
    <row r="42" spans="2:8" ht="15.75" customHeight="1" x14ac:dyDescent="0.2">
      <c r="B42" s="56"/>
      <c r="C42" s="18" t="s">
        <v>18</v>
      </c>
      <c r="D42" s="120">
        <f>-D7+PV(D13,D8,-D41)</f>
        <v>659982.34140100935</v>
      </c>
      <c r="E42" s="18"/>
      <c r="F42" s="18"/>
      <c r="G42" s="21"/>
      <c r="H42" s="29"/>
    </row>
    <row r="43" spans="2:8" ht="15.75" customHeight="1" x14ac:dyDescent="0.25">
      <c r="B43" s="56"/>
      <c r="C43" s="158" t="s">
        <v>106</v>
      </c>
      <c r="D43" s="171">
        <f>(D32-D42)/(D12-D18)</f>
        <v>-2.2554329065433705</v>
      </c>
      <c r="E43" s="18"/>
      <c r="F43" s="18"/>
      <c r="G43" s="21"/>
      <c r="H43" s="29"/>
    </row>
    <row r="44" spans="2:8" ht="15.75" customHeight="1" x14ac:dyDescent="0.2">
      <c r="B44" s="56"/>
      <c r="C44" s="18" t="s">
        <v>107</v>
      </c>
      <c r="D44" s="120"/>
      <c r="E44" s="18"/>
      <c r="F44" s="174">
        <f>D43</f>
        <v>-2.2554329065433705</v>
      </c>
      <c r="G44" s="21"/>
      <c r="H44" s="29"/>
    </row>
    <row r="45" spans="2:8" ht="15.75" customHeight="1" x14ac:dyDescent="0.2">
      <c r="B45" s="123"/>
      <c r="C45" s="18"/>
      <c r="D45" s="120"/>
      <c r="E45" s="18"/>
      <c r="F45" s="18"/>
      <c r="G45" s="21"/>
      <c r="H45" s="29"/>
    </row>
    <row r="46" spans="2:8" ht="15.75" customHeight="1" x14ac:dyDescent="0.25">
      <c r="B46" s="123" t="s">
        <v>50</v>
      </c>
      <c r="C46" s="18" t="s">
        <v>360</v>
      </c>
      <c r="D46" s="295">
        <f>(D12+D29)/(D10-D11)</f>
        <v>260.60606060606062</v>
      </c>
      <c r="E46" s="18"/>
      <c r="F46" s="18"/>
      <c r="G46" s="21"/>
      <c r="H46" s="29"/>
    </row>
    <row r="47" spans="2:8" ht="15.75" customHeight="1" thickBot="1" x14ac:dyDescent="0.25">
      <c r="B47" s="172"/>
      <c r="C47" s="48"/>
      <c r="D47" s="48"/>
      <c r="E47" s="48"/>
      <c r="F47" s="48"/>
      <c r="G47" s="47"/>
      <c r="H47" s="29"/>
    </row>
    <row r="48" spans="2:8" ht="15.75" customHeight="1" x14ac:dyDescent="0.2">
      <c r="B48" s="46"/>
      <c r="C48" s="3"/>
      <c r="D48" s="3"/>
      <c r="E48" s="46"/>
      <c r="F48" s="46"/>
      <c r="G48" s="46"/>
      <c r="H48" s="46"/>
    </row>
    <row r="49" spans="2:8" ht="15.75" customHeight="1" x14ac:dyDescent="0.2">
      <c r="B49" s="3"/>
      <c r="C49" s="3"/>
      <c r="D49" s="116"/>
      <c r="E49" s="3"/>
      <c r="F49" s="3"/>
      <c r="G49" s="3"/>
      <c r="H49" s="3"/>
    </row>
    <row r="50" spans="2:8" ht="15.75" customHeight="1" x14ac:dyDescent="0.2">
      <c r="B50" s="3"/>
      <c r="C50" s="3"/>
      <c r="D50" s="3"/>
      <c r="E50" s="3"/>
      <c r="F50" s="3"/>
      <c r="G50" s="3"/>
      <c r="H50" s="3"/>
    </row>
    <row r="51" spans="2:8" ht="15.75" customHeight="1" x14ac:dyDescent="0.2">
      <c r="B51" s="3"/>
      <c r="C51" s="3"/>
      <c r="D51" s="3"/>
      <c r="E51" s="3"/>
      <c r="F51" s="3"/>
      <c r="G51" s="3"/>
      <c r="H51" s="3"/>
    </row>
    <row r="52" spans="2:8" ht="15.75" customHeight="1" x14ac:dyDescent="0.2">
      <c r="B52" s="3"/>
      <c r="C52" s="3"/>
      <c r="D52" s="3"/>
      <c r="E52" s="3"/>
      <c r="F52" s="3"/>
      <c r="G52" s="3"/>
      <c r="H52" s="3"/>
    </row>
    <row r="53" spans="2:8" ht="15.75" customHeight="1" x14ac:dyDescent="0.2">
      <c r="B53" s="3"/>
      <c r="C53" s="3"/>
      <c r="D53" s="3"/>
      <c r="E53" s="3"/>
      <c r="F53" s="3"/>
      <c r="G53" s="3"/>
      <c r="H53" s="3"/>
    </row>
    <row r="54" spans="2:8" ht="15.75" customHeight="1" x14ac:dyDescent="0.2">
      <c r="B54" s="3"/>
      <c r="C54" s="3"/>
      <c r="D54" s="3"/>
      <c r="E54" s="3"/>
      <c r="F54" s="3"/>
      <c r="G54" s="3"/>
      <c r="H54" s="3"/>
    </row>
    <row r="55" spans="2:8" ht="15.75" customHeight="1" x14ac:dyDescent="0.2">
      <c r="B55" s="3"/>
      <c r="C55" s="3"/>
      <c r="D55" s="3"/>
      <c r="E55" s="3"/>
      <c r="F55" s="3"/>
      <c r="G55" s="3"/>
      <c r="H55" s="3"/>
    </row>
    <row r="56" spans="2:8" ht="15.75" customHeight="1" x14ac:dyDescent="0.2">
      <c r="B56" s="3"/>
      <c r="C56" s="3"/>
      <c r="D56" s="3"/>
      <c r="E56" s="3"/>
      <c r="F56" s="3"/>
      <c r="G56" s="3"/>
      <c r="H56" s="3"/>
    </row>
    <row r="57" spans="2:8" ht="15.75" customHeight="1" x14ac:dyDescent="0.2">
      <c r="B57" s="3"/>
      <c r="C57" s="3"/>
      <c r="D57" s="3"/>
      <c r="E57" s="3"/>
      <c r="F57" s="3"/>
      <c r="G57" s="3"/>
      <c r="H57" s="3"/>
    </row>
    <row r="58" spans="2:8" ht="15" x14ac:dyDescent="0.2">
      <c r="B58" s="3"/>
      <c r="C58" s="3"/>
      <c r="D58" s="3"/>
      <c r="E58" s="3"/>
      <c r="F58" s="3"/>
      <c r="G58" s="3"/>
      <c r="H58" s="3"/>
    </row>
    <row r="59" spans="2:8" ht="15" x14ac:dyDescent="0.2">
      <c r="B59" s="3"/>
      <c r="C59" s="3"/>
      <c r="D59" s="3"/>
      <c r="E59" s="3"/>
      <c r="F59" s="3"/>
      <c r="G59" s="3"/>
      <c r="H59" s="3"/>
    </row>
    <row r="60" spans="2:8" ht="15" x14ac:dyDescent="0.2">
      <c r="B60" s="3"/>
      <c r="C60" s="3"/>
      <c r="D60" s="3"/>
      <c r="E60" s="3"/>
      <c r="F60" s="3"/>
      <c r="G60" s="3"/>
      <c r="H60" s="3"/>
    </row>
    <row r="61" spans="2:8" ht="15" x14ac:dyDescent="0.2">
      <c r="B61" s="3"/>
      <c r="C61" s="3"/>
      <c r="D61" s="3"/>
      <c r="E61" s="3"/>
      <c r="F61" s="3"/>
      <c r="G61" s="3"/>
      <c r="H61" s="3"/>
    </row>
    <row r="62" spans="2:8" ht="15" x14ac:dyDescent="0.2">
      <c r="B62" s="3"/>
      <c r="C62" s="3"/>
      <c r="D62" s="3"/>
      <c r="E62" s="3"/>
      <c r="F62" s="3"/>
      <c r="G62" s="3"/>
      <c r="H62" s="3"/>
    </row>
    <row r="63" spans="2:8" ht="15" x14ac:dyDescent="0.2">
      <c r="B63" s="3"/>
      <c r="C63" s="3"/>
      <c r="D63" s="3"/>
      <c r="E63" s="3"/>
      <c r="F63" s="3"/>
      <c r="G63" s="3"/>
      <c r="H63" s="3"/>
    </row>
    <row r="64" spans="2:8" ht="15" x14ac:dyDescent="0.2">
      <c r="B64" s="3"/>
      <c r="C64" s="3"/>
      <c r="D64" s="3"/>
      <c r="E64" s="3"/>
      <c r="F64" s="3"/>
      <c r="G64" s="3"/>
      <c r="H64" s="3"/>
    </row>
    <row r="65" spans="2:8" ht="15" x14ac:dyDescent="0.2">
      <c r="B65" s="3"/>
      <c r="C65" s="3"/>
      <c r="D65" s="3"/>
      <c r="E65" s="3"/>
      <c r="F65" s="3"/>
      <c r="G65" s="3"/>
      <c r="H65" s="3"/>
    </row>
    <row r="66" spans="2:8" ht="15" x14ac:dyDescent="0.2">
      <c r="B66" s="3"/>
      <c r="C66" s="3"/>
      <c r="D66" s="3"/>
      <c r="E66" s="3"/>
      <c r="F66" s="3"/>
      <c r="G66" s="3"/>
      <c r="H66" s="3"/>
    </row>
    <row r="67" spans="2:8" ht="15" x14ac:dyDescent="0.2">
      <c r="B67" s="3"/>
      <c r="C67" s="3"/>
      <c r="D67" s="3"/>
      <c r="E67" s="3"/>
      <c r="F67" s="3"/>
      <c r="G67" s="3"/>
      <c r="H67" s="3"/>
    </row>
    <row r="68" spans="2:8" ht="15" x14ac:dyDescent="0.2">
      <c r="B68" s="3"/>
      <c r="C68" s="3"/>
      <c r="D68" s="3"/>
      <c r="E68" s="3"/>
      <c r="F68" s="3"/>
      <c r="G68" s="3"/>
      <c r="H68" s="3"/>
    </row>
    <row r="69" spans="2:8" ht="15" x14ac:dyDescent="0.2">
      <c r="B69" s="3"/>
      <c r="C69" s="3"/>
      <c r="D69" s="3"/>
      <c r="E69" s="3"/>
      <c r="F69" s="3"/>
      <c r="G69" s="3"/>
      <c r="H69" s="3"/>
    </row>
    <row r="70" spans="2:8" ht="15" x14ac:dyDescent="0.2">
      <c r="B70" s="3"/>
      <c r="C70" s="3"/>
      <c r="D70" s="3"/>
      <c r="E70" s="3"/>
      <c r="F70" s="3"/>
      <c r="G70" s="3"/>
      <c r="H70" s="3"/>
    </row>
    <row r="71" spans="2:8" ht="15" x14ac:dyDescent="0.2">
      <c r="B71" s="3"/>
      <c r="C71" s="3"/>
      <c r="D71" s="3"/>
      <c r="E71" s="3"/>
      <c r="F71" s="3"/>
      <c r="G71" s="3"/>
      <c r="H71" s="3"/>
    </row>
    <row r="72" spans="2:8" ht="15" x14ac:dyDescent="0.2">
      <c r="B72" s="3"/>
      <c r="C72" s="3"/>
      <c r="D72" s="3"/>
      <c r="E72" s="3"/>
      <c r="F72" s="3"/>
      <c r="G72" s="3"/>
      <c r="H72" s="3"/>
    </row>
    <row r="73" spans="2:8" ht="15" x14ac:dyDescent="0.2">
      <c r="B73" s="3"/>
      <c r="C73" s="3"/>
      <c r="D73" s="3"/>
      <c r="E73" s="3"/>
      <c r="F73" s="3"/>
      <c r="G73" s="3"/>
      <c r="H73" s="3"/>
    </row>
    <row r="74" spans="2:8" ht="15" x14ac:dyDescent="0.2">
      <c r="B74" s="3"/>
      <c r="C74" s="3"/>
      <c r="D74" s="3"/>
      <c r="E74" s="3"/>
      <c r="F74" s="3"/>
      <c r="G74" s="3"/>
      <c r="H74" s="3"/>
    </row>
    <row r="75" spans="2:8" ht="15" x14ac:dyDescent="0.2">
      <c r="B75" s="3"/>
      <c r="C75" s="3"/>
      <c r="D75" s="3"/>
      <c r="E75" s="3"/>
      <c r="F75" s="3"/>
      <c r="G75" s="3"/>
      <c r="H75" s="3"/>
    </row>
    <row r="76" spans="2:8" ht="15" x14ac:dyDescent="0.2">
      <c r="B76" s="3"/>
      <c r="C76" s="3"/>
      <c r="D76" s="3"/>
      <c r="E76" s="3"/>
      <c r="F76" s="3"/>
      <c r="G76" s="3"/>
      <c r="H76" s="3"/>
    </row>
    <row r="77" spans="2:8" ht="15" x14ac:dyDescent="0.2">
      <c r="B77" s="3"/>
      <c r="C77" s="3"/>
      <c r="D77" s="3"/>
      <c r="E77" s="3"/>
      <c r="F77" s="3"/>
      <c r="G77" s="3"/>
      <c r="H77" s="3"/>
    </row>
    <row r="78" spans="2:8" ht="15" x14ac:dyDescent="0.2">
      <c r="B78" s="3"/>
      <c r="C78" s="3"/>
      <c r="D78" s="3"/>
      <c r="E78" s="3"/>
      <c r="F78" s="3"/>
      <c r="G78" s="3"/>
      <c r="H78" s="3"/>
    </row>
    <row r="79" spans="2:8" ht="15" x14ac:dyDescent="0.2">
      <c r="B79" s="3"/>
      <c r="C79" s="3"/>
      <c r="D79" s="3"/>
      <c r="E79" s="3"/>
      <c r="F79" s="3"/>
      <c r="G79" s="3"/>
      <c r="H79" s="3"/>
    </row>
    <row r="80" spans="2:8" ht="15" x14ac:dyDescent="0.2">
      <c r="B80" s="3"/>
      <c r="C80" s="3"/>
      <c r="D80" s="3"/>
      <c r="E80" s="3"/>
      <c r="F80" s="3"/>
      <c r="G80" s="3"/>
      <c r="H80" s="3"/>
    </row>
    <row r="81" spans="2:8" ht="15" x14ac:dyDescent="0.2">
      <c r="B81" s="3"/>
      <c r="C81" s="3"/>
      <c r="D81" s="3"/>
      <c r="E81" s="3"/>
      <c r="F81" s="3"/>
      <c r="G81" s="3"/>
      <c r="H81" s="3"/>
    </row>
    <row r="82" spans="2:8" ht="15" x14ac:dyDescent="0.2">
      <c r="B82" s="3"/>
      <c r="C82" s="3"/>
      <c r="D82" s="3"/>
      <c r="E82" s="3"/>
      <c r="F82" s="3"/>
      <c r="G82" s="3"/>
      <c r="H82" s="3"/>
    </row>
    <row r="83" spans="2:8" ht="15" x14ac:dyDescent="0.2">
      <c r="B83" s="3"/>
      <c r="C83" s="3"/>
      <c r="D83" s="3"/>
      <c r="E83" s="3"/>
      <c r="F83" s="3"/>
      <c r="G83" s="3"/>
      <c r="H83" s="3"/>
    </row>
    <row r="84" spans="2:8" ht="15" x14ac:dyDescent="0.2">
      <c r="B84" s="3"/>
      <c r="C84" s="3"/>
      <c r="D84" s="3"/>
      <c r="E84" s="3"/>
      <c r="F84" s="3"/>
      <c r="G84" s="3"/>
      <c r="H84" s="3"/>
    </row>
    <row r="85" spans="2:8" ht="15" x14ac:dyDescent="0.2">
      <c r="B85" s="3"/>
      <c r="C85" s="3"/>
      <c r="D85" s="3"/>
      <c r="E85" s="3"/>
      <c r="F85" s="3"/>
      <c r="G85" s="3"/>
      <c r="H85" s="3"/>
    </row>
    <row r="86" spans="2:8" ht="15" x14ac:dyDescent="0.2">
      <c r="B86" s="3"/>
      <c r="C86" s="3"/>
      <c r="D86" s="3"/>
      <c r="E86" s="3"/>
      <c r="F86" s="3"/>
      <c r="G86" s="3"/>
      <c r="H86" s="3"/>
    </row>
    <row r="87" spans="2:8" ht="15" x14ac:dyDescent="0.2">
      <c r="B87" s="3"/>
      <c r="C87" s="3"/>
      <c r="D87" s="3"/>
      <c r="E87" s="3"/>
      <c r="F87" s="3"/>
      <c r="G87" s="3"/>
      <c r="H87" s="3"/>
    </row>
    <row r="88" spans="2:8" ht="15" x14ac:dyDescent="0.2">
      <c r="B88" s="3"/>
      <c r="C88" s="3"/>
      <c r="D88" s="3"/>
      <c r="E88" s="3"/>
      <c r="F88" s="3"/>
      <c r="G88" s="3"/>
      <c r="H88" s="3"/>
    </row>
    <row r="89" spans="2:8" ht="15" x14ac:dyDescent="0.2">
      <c r="B89" s="3"/>
      <c r="C89" s="3"/>
      <c r="D89" s="3"/>
      <c r="E89" s="3"/>
      <c r="F89" s="3"/>
      <c r="G89" s="3"/>
      <c r="H89" s="3"/>
    </row>
    <row r="90" spans="2:8" ht="15" x14ac:dyDescent="0.2">
      <c r="B90" s="3"/>
      <c r="C90" s="3"/>
      <c r="D90" s="3"/>
      <c r="E90" s="3"/>
      <c r="F90" s="3"/>
      <c r="G90" s="3"/>
      <c r="H90" s="3"/>
    </row>
    <row r="91" spans="2:8" ht="15" x14ac:dyDescent="0.2">
      <c r="B91" s="3"/>
      <c r="C91" s="3"/>
      <c r="D91" s="3"/>
      <c r="E91" s="3"/>
      <c r="F91" s="3"/>
      <c r="G91" s="3"/>
      <c r="H91" s="3"/>
    </row>
    <row r="92" spans="2:8" ht="15" x14ac:dyDescent="0.2">
      <c r="B92" s="3"/>
      <c r="C92" s="3"/>
      <c r="D92" s="3"/>
      <c r="E92" s="3"/>
      <c r="F92" s="3"/>
      <c r="G92" s="3"/>
      <c r="H92" s="3"/>
    </row>
    <row r="93" spans="2:8" ht="15" x14ac:dyDescent="0.2">
      <c r="B93" s="3"/>
      <c r="C93" s="3"/>
      <c r="D93" s="3"/>
      <c r="E93" s="3"/>
      <c r="F93" s="3"/>
      <c r="G93" s="3"/>
      <c r="H93" s="3"/>
    </row>
    <row r="94" spans="2:8" ht="15" x14ac:dyDescent="0.2">
      <c r="B94" s="3"/>
      <c r="C94" s="3"/>
      <c r="D94" s="3"/>
      <c r="E94" s="3"/>
      <c r="F94" s="3"/>
      <c r="G94" s="3"/>
      <c r="H94" s="3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211"/>
  <dimension ref="B1:G7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85546875" customWidth="1"/>
    <col min="4" max="4" width="18.140625" bestFit="1" customWidth="1"/>
    <col min="5" max="5" width="3.140625" customWidth="1"/>
    <col min="6" max="7" width="9.140625" customWidth="1"/>
  </cols>
  <sheetData>
    <row r="1" spans="2:5" ht="18" x14ac:dyDescent="0.25">
      <c r="C1" s="1" t="s">
        <v>332</v>
      </c>
    </row>
    <row r="2" spans="2:5" ht="15" x14ac:dyDescent="0.2">
      <c r="C2" s="3" t="s">
        <v>193</v>
      </c>
    </row>
    <row r="4" spans="2:5" ht="15" x14ac:dyDescent="0.2">
      <c r="C4" s="2" t="s">
        <v>1</v>
      </c>
      <c r="D4" s="3"/>
      <c r="E4" s="3"/>
    </row>
    <row r="5" spans="2:5" s="3" customFormat="1" ht="15.75" thickBot="1" x14ac:dyDescent="0.25">
      <c r="C5" s="89"/>
      <c r="D5" s="90"/>
    </row>
    <row r="6" spans="2:5" s="3" customFormat="1" ht="15" x14ac:dyDescent="0.2">
      <c r="B6" s="91"/>
      <c r="C6" s="92"/>
      <c r="D6" s="93"/>
      <c r="E6" s="94"/>
    </row>
    <row r="7" spans="2:5" s="3" customFormat="1" ht="15" x14ac:dyDescent="0.2">
      <c r="B7" s="95"/>
      <c r="C7" s="96" t="s">
        <v>64</v>
      </c>
      <c r="D7" s="175">
        <v>950</v>
      </c>
      <c r="E7" s="97"/>
    </row>
    <row r="8" spans="2:5" s="3" customFormat="1" ht="15" x14ac:dyDescent="0.2">
      <c r="B8" s="95"/>
      <c r="C8" s="96" t="s">
        <v>42</v>
      </c>
      <c r="D8" s="175">
        <v>415</v>
      </c>
      <c r="E8" s="97"/>
    </row>
    <row r="9" spans="2:5" s="3" customFormat="1" ht="15" x14ac:dyDescent="0.2">
      <c r="B9" s="95"/>
      <c r="C9" s="96" t="s">
        <v>115</v>
      </c>
      <c r="D9" s="109">
        <v>150000</v>
      </c>
      <c r="E9" s="97"/>
    </row>
    <row r="10" spans="2:5" s="3" customFormat="1" ht="15" x14ac:dyDescent="0.2">
      <c r="B10" s="95"/>
      <c r="C10" s="96" t="s">
        <v>59</v>
      </c>
      <c r="D10" s="110">
        <v>50000</v>
      </c>
      <c r="E10" s="97"/>
    </row>
    <row r="11" spans="2:5" s="3" customFormat="1" ht="15" x14ac:dyDescent="0.2">
      <c r="B11" s="95"/>
      <c r="C11" s="96" t="s">
        <v>161</v>
      </c>
      <c r="D11" s="176">
        <v>9000</v>
      </c>
      <c r="E11" s="97"/>
    </row>
    <row r="12" spans="2:5" s="3" customFormat="1" ht="15" x14ac:dyDescent="0.2">
      <c r="B12" s="95"/>
      <c r="C12" s="96" t="s">
        <v>110</v>
      </c>
      <c r="D12" s="109">
        <v>1450</v>
      </c>
      <c r="E12" s="97"/>
    </row>
    <row r="13" spans="2:5" s="3" customFormat="1" ht="15" x14ac:dyDescent="0.2">
      <c r="B13" s="95"/>
      <c r="C13" s="96" t="s">
        <v>111</v>
      </c>
      <c r="D13" s="109">
        <v>590</v>
      </c>
      <c r="E13" s="97"/>
    </row>
    <row r="14" spans="2:5" s="3" customFormat="1" ht="15" x14ac:dyDescent="0.2">
      <c r="B14" s="95"/>
      <c r="C14" s="96" t="s">
        <v>112</v>
      </c>
      <c r="D14" s="110">
        <v>12000</v>
      </c>
      <c r="E14" s="97"/>
    </row>
    <row r="15" spans="2:5" s="3" customFormat="1" ht="15" x14ac:dyDescent="0.2">
      <c r="B15" s="95"/>
      <c r="C15" s="96" t="s">
        <v>113</v>
      </c>
      <c r="D15" s="109">
        <v>475</v>
      </c>
      <c r="E15" s="97"/>
    </row>
    <row r="16" spans="2:5" s="3" customFormat="1" ht="15" x14ac:dyDescent="0.2">
      <c r="B16" s="95"/>
      <c r="C16" s="96" t="s">
        <v>114</v>
      </c>
      <c r="D16" s="109">
        <v>210</v>
      </c>
      <c r="E16" s="97"/>
    </row>
    <row r="17" spans="2:5" s="3" customFormat="1" ht="15" x14ac:dyDescent="0.2">
      <c r="B17" s="95"/>
      <c r="C17" s="96" t="s">
        <v>37</v>
      </c>
      <c r="D17" s="175">
        <v>9400000</v>
      </c>
      <c r="E17" s="97"/>
    </row>
    <row r="18" spans="2:5" s="3" customFormat="1" ht="15" x14ac:dyDescent="0.2">
      <c r="B18" s="95"/>
      <c r="C18" s="96" t="s">
        <v>117</v>
      </c>
      <c r="D18" s="109">
        <v>1000000</v>
      </c>
      <c r="E18" s="97"/>
    </row>
    <row r="19" spans="2:5" s="3" customFormat="1" ht="15" x14ac:dyDescent="0.2">
      <c r="B19" s="95"/>
      <c r="C19" s="96" t="s">
        <v>108</v>
      </c>
      <c r="D19" s="65">
        <v>29400000</v>
      </c>
      <c r="E19" s="97"/>
    </row>
    <row r="20" spans="2:5" s="3" customFormat="1" ht="15" x14ac:dyDescent="0.2">
      <c r="B20" s="95"/>
      <c r="C20" s="96" t="s">
        <v>62</v>
      </c>
      <c r="D20" s="110">
        <v>7</v>
      </c>
      <c r="E20" s="97"/>
    </row>
    <row r="21" spans="2:5" s="3" customFormat="1" ht="15" x14ac:dyDescent="0.2">
      <c r="B21" s="95"/>
      <c r="C21" s="96" t="s">
        <v>39</v>
      </c>
      <c r="D21" s="109">
        <v>2400000</v>
      </c>
      <c r="E21" s="97"/>
    </row>
    <row r="22" spans="2:5" s="3" customFormat="1" ht="15" x14ac:dyDescent="0.2">
      <c r="B22" s="95"/>
      <c r="C22" s="96" t="s">
        <v>7</v>
      </c>
      <c r="D22" s="177">
        <v>0.24</v>
      </c>
      <c r="E22" s="97"/>
    </row>
    <row r="23" spans="2:5" s="3" customFormat="1" ht="15" x14ac:dyDescent="0.2">
      <c r="B23" s="95"/>
      <c r="C23" s="96" t="s">
        <v>118</v>
      </c>
      <c r="D23" s="177">
        <v>0.14000000000000001</v>
      </c>
      <c r="E23" s="97"/>
    </row>
    <row r="24" spans="2:5" s="3" customFormat="1" ht="15" customHeight="1" thickBot="1" x14ac:dyDescent="0.25">
      <c r="B24" s="98"/>
      <c r="C24" s="99"/>
      <c r="D24" s="178"/>
      <c r="E24" s="40"/>
    </row>
    <row r="25" spans="2:5" s="3" customFormat="1" ht="15" x14ac:dyDescent="0.2"/>
    <row r="26" spans="2:5" s="3" customFormat="1" ht="15" x14ac:dyDescent="0.2">
      <c r="C26" s="2" t="s">
        <v>2</v>
      </c>
    </row>
    <row r="27" spans="2:5" s="3" customFormat="1" ht="15.75" thickBot="1" x14ac:dyDescent="0.25">
      <c r="C27" s="89"/>
    </row>
    <row r="28" spans="2:5" s="3" customFormat="1" ht="15" x14ac:dyDescent="0.2">
      <c r="B28" s="100"/>
      <c r="C28" s="101"/>
      <c r="D28" s="101"/>
      <c r="E28" s="58"/>
    </row>
    <row r="29" spans="2:5" s="3" customFormat="1" ht="15" x14ac:dyDescent="0.2">
      <c r="B29" s="102"/>
      <c r="C29" s="53"/>
      <c r="D29" s="53"/>
      <c r="E29" s="105"/>
    </row>
    <row r="30" spans="2:5" s="3" customFormat="1" ht="15" x14ac:dyDescent="0.2">
      <c r="B30" s="102"/>
      <c r="C30" s="179" t="s">
        <v>40</v>
      </c>
      <c r="D30" s="138"/>
      <c r="E30" s="105"/>
    </row>
    <row r="31" spans="2:5" s="3" customFormat="1" ht="15" x14ac:dyDescent="0.2">
      <c r="B31" s="102"/>
      <c r="C31" s="103" t="s">
        <v>119</v>
      </c>
      <c r="D31" s="296">
        <f>-D19</f>
        <v>-29400000</v>
      </c>
      <c r="E31" s="105"/>
    </row>
    <row r="32" spans="2:5" s="3" customFormat="1" ht="15" x14ac:dyDescent="0.2">
      <c r="B32" s="102"/>
      <c r="C32" s="103" t="s">
        <v>120</v>
      </c>
      <c r="D32" s="297">
        <f>-D21</f>
        <v>-2400000</v>
      </c>
      <c r="E32" s="105"/>
    </row>
    <row r="33" spans="2:5" s="3" customFormat="1" ht="15" x14ac:dyDescent="0.2">
      <c r="B33" s="102"/>
      <c r="C33" s="103" t="s">
        <v>121</v>
      </c>
      <c r="D33" s="180">
        <f>D31+D32</f>
        <v>-31800000</v>
      </c>
      <c r="E33" s="105"/>
    </row>
    <row r="34" spans="2:5" s="3" customFormat="1" ht="15" x14ac:dyDescent="0.2">
      <c r="B34" s="102"/>
      <c r="C34" s="103"/>
      <c r="D34" s="180"/>
      <c r="E34" s="105"/>
    </row>
    <row r="35" spans="2:5" s="3" customFormat="1" ht="15" x14ac:dyDescent="0.2">
      <c r="B35" s="102"/>
      <c r="C35" s="103" t="s">
        <v>122</v>
      </c>
      <c r="D35" s="180">
        <f>D10*D7</f>
        <v>47500000</v>
      </c>
      <c r="E35" s="105"/>
    </row>
    <row r="36" spans="2:5" s="3" customFormat="1" ht="15" x14ac:dyDescent="0.2">
      <c r="B36" s="102"/>
      <c r="C36" s="103" t="s">
        <v>123</v>
      </c>
      <c r="D36" s="181">
        <f>-D11*D12</f>
        <v>-13050000</v>
      </c>
      <c r="E36" s="105"/>
    </row>
    <row r="37" spans="2:5" s="3" customFormat="1" ht="15" x14ac:dyDescent="0.2">
      <c r="B37" s="102"/>
      <c r="C37" s="103" t="s">
        <v>124</v>
      </c>
      <c r="D37" s="182">
        <f>D14*D15</f>
        <v>5700000</v>
      </c>
      <c r="E37" s="105"/>
    </row>
    <row r="38" spans="2:5" s="3" customFormat="1" ht="15" x14ac:dyDescent="0.2">
      <c r="B38" s="102"/>
      <c r="C38" s="103" t="s">
        <v>125</v>
      </c>
      <c r="D38" s="180">
        <f>D35+D36+D37</f>
        <v>40150000</v>
      </c>
      <c r="E38" s="105"/>
    </row>
    <row r="39" spans="2:5" s="3" customFormat="1" ht="15" x14ac:dyDescent="0.2">
      <c r="B39" s="102"/>
      <c r="C39" s="103"/>
      <c r="D39" s="180"/>
      <c r="E39" s="105"/>
    </row>
    <row r="40" spans="2:5" s="3" customFormat="1" ht="15" x14ac:dyDescent="0.2">
      <c r="B40" s="102"/>
      <c r="C40" s="103" t="s">
        <v>126</v>
      </c>
      <c r="D40" s="180">
        <f>-D10*D8</f>
        <v>-20750000</v>
      </c>
      <c r="E40" s="105"/>
    </row>
    <row r="41" spans="2:5" s="3" customFormat="1" ht="15" x14ac:dyDescent="0.2">
      <c r="B41" s="102"/>
      <c r="C41" s="103" t="s">
        <v>127</v>
      </c>
      <c r="D41" s="181">
        <f>D11*D13</f>
        <v>5310000</v>
      </c>
      <c r="E41" s="105"/>
    </row>
    <row r="42" spans="2:5" s="3" customFormat="1" ht="15" x14ac:dyDescent="0.2">
      <c r="B42" s="102"/>
      <c r="C42" s="103" t="s">
        <v>128</v>
      </c>
      <c r="D42" s="182">
        <f>-D14*D16</f>
        <v>-2520000</v>
      </c>
      <c r="E42" s="105"/>
    </row>
    <row r="43" spans="2:5" s="3" customFormat="1" ht="15" x14ac:dyDescent="0.2">
      <c r="B43" s="102"/>
      <c r="C43" s="103" t="s">
        <v>129</v>
      </c>
      <c r="D43" s="180">
        <f>D40+D41+D42</f>
        <v>-17960000</v>
      </c>
      <c r="E43" s="105"/>
    </row>
    <row r="44" spans="2:5" s="3" customFormat="1" ht="15" x14ac:dyDescent="0.2">
      <c r="B44" s="102"/>
      <c r="C44" s="103"/>
      <c r="D44" s="183"/>
      <c r="E44" s="105"/>
    </row>
    <row r="45" spans="2:5" s="3" customFormat="1" ht="15" x14ac:dyDescent="0.2">
      <c r="B45" s="102"/>
      <c r="C45" s="103" t="s">
        <v>130</v>
      </c>
      <c r="D45" s="180">
        <f>D38</f>
        <v>40150000</v>
      </c>
      <c r="E45" s="105"/>
    </row>
    <row r="46" spans="2:5" s="3" customFormat="1" ht="15" x14ac:dyDescent="0.2">
      <c r="B46" s="102"/>
      <c r="C46" s="164" t="s">
        <v>129</v>
      </c>
      <c r="D46" s="181">
        <f>-D43</f>
        <v>17960000</v>
      </c>
      <c r="E46" s="105"/>
    </row>
    <row r="47" spans="2:5" s="3" customFormat="1" ht="15" x14ac:dyDescent="0.2">
      <c r="B47" s="102"/>
      <c r="C47" s="103" t="s">
        <v>37</v>
      </c>
      <c r="D47" s="181">
        <f>D17</f>
        <v>9400000</v>
      </c>
      <c r="E47" s="105"/>
    </row>
    <row r="48" spans="2:5" s="3" customFormat="1" ht="15" x14ac:dyDescent="0.2">
      <c r="B48" s="102"/>
      <c r="C48" s="103" t="s">
        <v>6</v>
      </c>
      <c r="D48" s="182">
        <f>D19/D20</f>
        <v>4200000</v>
      </c>
      <c r="E48" s="105"/>
    </row>
    <row r="49" spans="2:7" s="3" customFormat="1" ht="15" x14ac:dyDescent="0.2">
      <c r="B49" s="102"/>
      <c r="C49" s="103" t="s">
        <v>44</v>
      </c>
      <c r="D49" s="180">
        <f>D45-D46-D47-D48</f>
        <v>8590000</v>
      </c>
      <c r="E49" s="105"/>
    </row>
    <row r="50" spans="2:7" s="3" customFormat="1" ht="15" x14ac:dyDescent="0.2">
      <c r="B50" s="102"/>
      <c r="C50" s="103" t="s">
        <v>35</v>
      </c>
      <c r="D50" s="182">
        <f>D49*D22</f>
        <v>2061600</v>
      </c>
      <c r="E50" s="105"/>
    </row>
    <row r="51" spans="2:7" s="3" customFormat="1" ht="15" x14ac:dyDescent="0.2">
      <c r="B51" s="102"/>
      <c r="C51" s="103" t="s">
        <v>45</v>
      </c>
      <c r="D51" s="180">
        <f>D49-D50</f>
        <v>6528400</v>
      </c>
      <c r="E51" s="105"/>
    </row>
    <row r="52" spans="2:7" s="3" customFormat="1" ht="15" x14ac:dyDescent="0.2">
      <c r="B52" s="102"/>
      <c r="C52" s="103"/>
      <c r="D52" s="183"/>
      <c r="E52" s="105"/>
    </row>
    <row r="53" spans="2:7" s="3" customFormat="1" ht="15" x14ac:dyDescent="0.2">
      <c r="B53" s="102"/>
      <c r="C53" s="103" t="s">
        <v>9</v>
      </c>
      <c r="D53" s="180">
        <f>D49+D48-D50</f>
        <v>10728400</v>
      </c>
      <c r="E53" s="105"/>
    </row>
    <row r="54" spans="2:7" s="3" customFormat="1" ht="15.75" x14ac:dyDescent="0.25">
      <c r="B54" s="102"/>
      <c r="C54" s="103"/>
      <c r="D54" s="184"/>
      <c r="E54" s="105"/>
    </row>
    <row r="55" spans="2:7" s="3" customFormat="1" ht="15" x14ac:dyDescent="0.2">
      <c r="B55" s="102"/>
      <c r="C55" s="103" t="s">
        <v>131</v>
      </c>
      <c r="D55" s="183"/>
      <c r="E55" s="105"/>
    </row>
    <row r="56" spans="2:7" s="3" customFormat="1" ht="17.25" x14ac:dyDescent="0.35">
      <c r="B56" s="102"/>
      <c r="C56" s="185" t="s">
        <v>132</v>
      </c>
      <c r="D56" s="186" t="s">
        <v>133</v>
      </c>
      <c r="E56" s="105"/>
    </row>
    <row r="57" spans="2:7" s="3" customFormat="1" ht="15" x14ac:dyDescent="0.2">
      <c r="B57" s="126"/>
      <c r="C57" s="103">
        <v>0</v>
      </c>
      <c r="D57" s="180">
        <f>D33</f>
        <v>-31800000</v>
      </c>
      <c r="E57" s="105"/>
    </row>
    <row r="58" spans="2:7" s="3" customFormat="1" ht="15" x14ac:dyDescent="0.2">
      <c r="B58" s="102"/>
      <c r="C58" s="103">
        <v>1</v>
      </c>
      <c r="D58" s="181">
        <f>D53</f>
        <v>10728400</v>
      </c>
      <c r="E58" s="105"/>
    </row>
    <row r="59" spans="2:7" s="3" customFormat="1" ht="15" x14ac:dyDescent="0.2">
      <c r="B59" s="102"/>
      <c r="C59" s="103">
        <v>2</v>
      </c>
      <c r="D59" s="181">
        <f>D53</f>
        <v>10728400</v>
      </c>
      <c r="E59" s="105"/>
      <c r="G59" s="311"/>
    </row>
    <row r="60" spans="2:7" s="3" customFormat="1" ht="15" x14ac:dyDescent="0.2">
      <c r="B60" s="102"/>
      <c r="C60" s="103">
        <v>3</v>
      </c>
      <c r="D60" s="181">
        <f>D53</f>
        <v>10728400</v>
      </c>
      <c r="E60" s="105"/>
      <c r="G60" s="298"/>
    </row>
    <row r="61" spans="2:7" s="3" customFormat="1" ht="15" x14ac:dyDescent="0.2">
      <c r="B61" s="102"/>
      <c r="C61" s="103">
        <v>4</v>
      </c>
      <c r="D61" s="181">
        <f>D53</f>
        <v>10728400</v>
      </c>
      <c r="E61" s="105"/>
    </row>
    <row r="62" spans="2:7" s="3" customFormat="1" ht="15" x14ac:dyDescent="0.2">
      <c r="B62" s="102"/>
      <c r="C62" s="103">
        <v>5</v>
      </c>
      <c r="D62" s="181">
        <f>D53</f>
        <v>10728400</v>
      </c>
      <c r="E62" s="105"/>
    </row>
    <row r="63" spans="2:7" s="3" customFormat="1" ht="15" x14ac:dyDescent="0.2">
      <c r="B63" s="102"/>
      <c r="C63" s="103">
        <v>6</v>
      </c>
      <c r="D63" s="181">
        <f>D53</f>
        <v>10728400</v>
      </c>
      <c r="E63" s="105"/>
    </row>
    <row r="64" spans="2:7" s="3" customFormat="1" ht="15" x14ac:dyDescent="0.2">
      <c r="B64" s="102"/>
      <c r="C64" s="103">
        <v>7</v>
      </c>
      <c r="D64" s="181">
        <f>D53+D21</f>
        <v>13128400</v>
      </c>
      <c r="E64" s="105"/>
    </row>
    <row r="65" spans="2:5" s="3" customFormat="1" ht="15" x14ac:dyDescent="0.2">
      <c r="B65" s="102"/>
      <c r="C65" s="103"/>
      <c r="D65" s="181"/>
      <c r="E65" s="105"/>
    </row>
    <row r="66" spans="2:5" s="3" customFormat="1" ht="15.75" x14ac:dyDescent="0.25">
      <c r="B66" s="102"/>
      <c r="C66" s="103" t="s">
        <v>134</v>
      </c>
      <c r="D66" s="189">
        <f>IF(-D57&gt;SUM(D58:D64),"Never",IF(-D57&gt;SUM(D58:D63),(6+(-D57-D58-D59-D60-D61-D62-D63)/D64),IF(-D57&gt;SUM(D58:D62),(5+(-D57-D58-D59-D60-D61-D62)/D63),IF(-D57&gt;SUM(D58:D61),(4+(-D57-D58-D59-D60-D61)/D62),IF(-D57&gt;SUM(D58:D60),(3+(-D57-D58-D59-D60)/D61),IF(-D57&gt;(D58+D59),(2+(-D57-D58-D59)/D60),IF(-D57&gt;D58,(1+(-D57-D58)/D59),IF(-D57&lt;D58,-D57/D58," "))))))))</f>
        <v>2.9640952984601618</v>
      </c>
      <c r="E66" s="105"/>
    </row>
    <row r="67" spans="2:5" s="3" customFormat="1" ht="15.75" x14ac:dyDescent="0.25">
      <c r="B67" s="102"/>
      <c r="C67" s="103" t="s">
        <v>18</v>
      </c>
      <c r="D67" s="188">
        <f>NPV(D23,D58:D64)+D57</f>
        <v>15165779.209575757</v>
      </c>
      <c r="E67" s="105"/>
    </row>
    <row r="68" spans="2:5" s="3" customFormat="1" ht="15.75" x14ac:dyDescent="0.25">
      <c r="B68" s="102"/>
      <c r="C68" s="103" t="s">
        <v>29</v>
      </c>
      <c r="D68" s="187">
        <f>IRR(D57:D64)</f>
        <v>0.28175536564261683</v>
      </c>
      <c r="E68" s="105"/>
    </row>
    <row r="69" spans="2:5" s="3" customFormat="1" ht="15" customHeight="1" thickBot="1" x14ac:dyDescent="0.25">
      <c r="B69" s="106"/>
      <c r="C69" s="107"/>
      <c r="D69" s="107"/>
      <c r="E69" s="108"/>
    </row>
    <row r="70" spans="2:5" s="3" customFormat="1" ht="15" x14ac:dyDescent="0.2"/>
    <row r="71" spans="2:5" x14ac:dyDescent="0.2">
      <c r="D71" s="315"/>
    </row>
  </sheetData>
  <phoneticPr fontId="0" type="noConversion"/>
  <pageMargins left="0.75" right="0.75" top="1" bottom="1" header="0.5" footer="0.5"/>
  <pageSetup scale="64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2111"/>
  <dimension ref="B1:F77"/>
  <sheetViews>
    <sheetView topLeftCell="A16"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85546875" customWidth="1"/>
    <col min="4" max="4" width="20.5703125" bestFit="1" customWidth="1"/>
    <col min="5" max="5" width="21.5703125" bestFit="1" customWidth="1"/>
    <col min="6" max="6" width="3.140625" customWidth="1"/>
  </cols>
  <sheetData>
    <row r="1" spans="2:5" ht="18" x14ac:dyDescent="0.25">
      <c r="C1" s="1" t="s">
        <v>332</v>
      </c>
    </row>
    <row r="2" spans="2:5" ht="15" x14ac:dyDescent="0.2">
      <c r="C2" s="3" t="s">
        <v>194</v>
      </c>
    </row>
    <row r="4" spans="2:5" ht="15" x14ac:dyDescent="0.2">
      <c r="C4" s="2" t="s">
        <v>1</v>
      </c>
      <c r="D4" s="3"/>
      <c r="E4" s="3"/>
    </row>
    <row r="5" spans="2:5" s="3" customFormat="1" ht="15.75" thickBot="1" x14ac:dyDescent="0.25">
      <c r="C5" s="89"/>
      <c r="D5" s="90"/>
    </row>
    <row r="6" spans="2:5" s="3" customFormat="1" ht="15" x14ac:dyDescent="0.2">
      <c r="B6" s="91"/>
      <c r="C6" s="92"/>
      <c r="D6" s="93"/>
      <c r="E6" s="94"/>
    </row>
    <row r="7" spans="2:5" s="3" customFormat="1" ht="15" x14ac:dyDescent="0.2">
      <c r="B7" s="95"/>
      <c r="C7" s="96" t="s">
        <v>108</v>
      </c>
      <c r="D7" s="112">
        <f>'#14'!D19</f>
        <v>29400000</v>
      </c>
      <c r="E7" s="97"/>
    </row>
    <row r="8" spans="2:5" s="3" customFormat="1" ht="15" x14ac:dyDescent="0.2">
      <c r="B8" s="95"/>
      <c r="C8" s="96" t="s">
        <v>362</v>
      </c>
      <c r="D8" s="112">
        <f>'#14'!D20</f>
        <v>7</v>
      </c>
      <c r="E8" s="97"/>
    </row>
    <row r="9" spans="2:5" s="3" customFormat="1" ht="15" x14ac:dyDescent="0.2">
      <c r="B9" s="95"/>
      <c r="C9" s="96" t="s">
        <v>59</v>
      </c>
      <c r="D9" s="192">
        <f>'#14'!D10</f>
        <v>50000</v>
      </c>
      <c r="E9" s="97"/>
    </row>
    <row r="10" spans="2:5" s="3" customFormat="1" ht="15" x14ac:dyDescent="0.2">
      <c r="B10" s="95"/>
      <c r="C10" s="96" t="s">
        <v>64</v>
      </c>
      <c r="D10" s="193">
        <f>'#14'!D7</f>
        <v>950</v>
      </c>
      <c r="E10" s="97"/>
    </row>
    <row r="11" spans="2:5" s="3" customFormat="1" ht="15" x14ac:dyDescent="0.2">
      <c r="B11" s="95"/>
      <c r="C11" s="96" t="s">
        <v>42</v>
      </c>
      <c r="D11" s="193">
        <f>'#14'!D8</f>
        <v>415</v>
      </c>
      <c r="E11" s="97"/>
    </row>
    <row r="12" spans="2:5" s="3" customFormat="1" ht="15" x14ac:dyDescent="0.2">
      <c r="B12" s="95"/>
      <c r="C12" s="96" t="s">
        <v>37</v>
      </c>
      <c r="D12" s="193">
        <f>'#14'!D17</f>
        <v>9400000</v>
      </c>
      <c r="E12" s="97"/>
    </row>
    <row r="13" spans="2:5" s="3" customFormat="1" ht="15" x14ac:dyDescent="0.2">
      <c r="B13" s="95"/>
      <c r="C13" s="96" t="s">
        <v>109</v>
      </c>
      <c r="D13" s="194">
        <f>'#14'!D11</f>
        <v>9000</v>
      </c>
      <c r="E13" s="97"/>
    </row>
    <row r="14" spans="2:5" s="3" customFormat="1" ht="15" x14ac:dyDescent="0.2">
      <c r="B14" s="95"/>
      <c r="C14" s="96" t="s">
        <v>110</v>
      </c>
      <c r="D14" s="195">
        <f>'#14'!D12</f>
        <v>1450</v>
      </c>
      <c r="E14" s="97"/>
    </row>
    <row r="15" spans="2:5" s="3" customFormat="1" ht="15" x14ac:dyDescent="0.2">
      <c r="B15" s="95"/>
      <c r="C15" s="96" t="s">
        <v>111</v>
      </c>
      <c r="D15" s="195">
        <f>'#14'!D13</f>
        <v>590</v>
      </c>
      <c r="E15" s="97"/>
    </row>
    <row r="16" spans="2:5" s="3" customFormat="1" ht="15" x14ac:dyDescent="0.2">
      <c r="B16" s="95"/>
      <c r="C16" s="96" t="s">
        <v>112</v>
      </c>
      <c r="D16" s="192">
        <f>'#14'!D14</f>
        <v>12000</v>
      </c>
      <c r="E16" s="97"/>
    </row>
    <row r="17" spans="2:6" s="3" customFormat="1" ht="15" x14ac:dyDescent="0.2">
      <c r="B17" s="95"/>
      <c r="C17" s="96" t="s">
        <v>113</v>
      </c>
      <c r="D17" s="195">
        <f>'#14'!D15</f>
        <v>475</v>
      </c>
      <c r="E17" s="97"/>
    </row>
    <row r="18" spans="2:6" s="3" customFormat="1" ht="15" x14ac:dyDescent="0.2">
      <c r="B18" s="95"/>
      <c r="C18" s="96" t="s">
        <v>114</v>
      </c>
      <c r="D18" s="195">
        <f>'#14'!D16</f>
        <v>210</v>
      </c>
      <c r="E18" s="97"/>
    </row>
    <row r="19" spans="2:6" s="3" customFormat="1" ht="15" x14ac:dyDescent="0.2">
      <c r="B19" s="95"/>
      <c r="C19" s="96" t="s">
        <v>115</v>
      </c>
      <c r="D19" s="195">
        <f>'#14'!D9</f>
        <v>150000</v>
      </c>
      <c r="E19" s="97" t="s">
        <v>116</v>
      </c>
    </row>
    <row r="20" spans="2:6" s="3" customFormat="1" ht="15" x14ac:dyDescent="0.2">
      <c r="B20" s="95"/>
      <c r="C20" s="96" t="s">
        <v>117</v>
      </c>
      <c r="D20" s="195">
        <f>'#14'!D18</f>
        <v>1000000</v>
      </c>
      <c r="E20" s="97" t="s">
        <v>116</v>
      </c>
    </row>
    <row r="21" spans="2:6" s="3" customFormat="1" ht="15" x14ac:dyDescent="0.2">
      <c r="B21" s="95"/>
      <c r="C21" s="96" t="s">
        <v>39</v>
      </c>
      <c r="D21" s="195">
        <f>'#14'!D21</f>
        <v>2400000</v>
      </c>
      <c r="E21" s="97"/>
    </row>
    <row r="22" spans="2:6" s="3" customFormat="1" ht="15" x14ac:dyDescent="0.2">
      <c r="B22" s="95"/>
      <c r="C22" s="96" t="s">
        <v>7</v>
      </c>
      <c r="D22" s="196">
        <f>'#14'!D22</f>
        <v>0.24</v>
      </c>
      <c r="E22" s="97"/>
    </row>
    <row r="23" spans="2:6" s="3" customFormat="1" ht="15" x14ac:dyDescent="0.2">
      <c r="B23" s="95"/>
      <c r="C23" s="96" t="s">
        <v>118</v>
      </c>
      <c r="D23" s="196">
        <f>'#14'!D23</f>
        <v>0.14000000000000001</v>
      </c>
      <c r="E23" s="97"/>
    </row>
    <row r="24" spans="2:6" s="3" customFormat="1" ht="15" x14ac:dyDescent="0.2">
      <c r="B24" s="95"/>
      <c r="C24" s="96" t="s">
        <v>135</v>
      </c>
      <c r="D24" s="177">
        <v>0.1</v>
      </c>
      <c r="E24" s="97"/>
    </row>
    <row r="25" spans="2:6" s="3" customFormat="1" ht="15" customHeight="1" thickBot="1" x14ac:dyDescent="0.25">
      <c r="B25" s="98"/>
      <c r="C25" s="99"/>
      <c r="D25" s="178"/>
      <c r="E25" s="40"/>
    </row>
    <row r="26" spans="2:6" s="3" customFormat="1" ht="15" x14ac:dyDescent="0.2"/>
    <row r="27" spans="2:6" s="3" customFormat="1" ht="15" x14ac:dyDescent="0.2">
      <c r="C27" s="2" t="s">
        <v>2</v>
      </c>
    </row>
    <row r="28" spans="2:6" s="3" customFormat="1" ht="15.75" thickBot="1" x14ac:dyDescent="0.25">
      <c r="C28" s="89"/>
    </row>
    <row r="29" spans="2:6" s="3" customFormat="1" ht="15" x14ac:dyDescent="0.2">
      <c r="B29" s="100"/>
      <c r="C29" s="101"/>
      <c r="D29" s="101"/>
      <c r="E29" s="101"/>
      <c r="F29" s="58"/>
    </row>
    <row r="30" spans="2:6" s="3" customFormat="1" ht="15" x14ac:dyDescent="0.2">
      <c r="B30" s="102"/>
      <c r="C30" s="53"/>
      <c r="D30" s="190" t="s">
        <v>57</v>
      </c>
      <c r="E30" s="190" t="s">
        <v>136</v>
      </c>
      <c r="F30" s="105"/>
    </row>
    <row r="31" spans="2:6" s="3" customFormat="1" ht="15" x14ac:dyDescent="0.2">
      <c r="B31" s="102"/>
      <c r="C31" s="53" t="s">
        <v>137</v>
      </c>
      <c r="D31" s="62">
        <f>D9*(1+D24)</f>
        <v>55000.000000000007</v>
      </c>
      <c r="E31" s="62">
        <f>D9*(1-D24)</f>
        <v>45000</v>
      </c>
      <c r="F31" s="105"/>
    </row>
    <row r="32" spans="2:6" s="3" customFormat="1" ht="15" x14ac:dyDescent="0.2">
      <c r="B32" s="102"/>
      <c r="C32" s="53" t="s">
        <v>138</v>
      </c>
      <c r="D32" s="61">
        <f>D10*(1+D24)</f>
        <v>1045</v>
      </c>
      <c r="E32" s="61">
        <f>D10*(1-D24)</f>
        <v>855</v>
      </c>
      <c r="F32" s="105"/>
    </row>
    <row r="33" spans="2:6" s="3" customFormat="1" ht="15" x14ac:dyDescent="0.2">
      <c r="B33" s="102"/>
      <c r="C33" s="53" t="s">
        <v>139</v>
      </c>
      <c r="D33" s="61">
        <f>D11*(1-D24)</f>
        <v>373.5</v>
      </c>
      <c r="E33" s="61">
        <f>D11*(1+D24)</f>
        <v>456.50000000000006</v>
      </c>
      <c r="F33" s="105"/>
    </row>
    <row r="34" spans="2:6" s="3" customFormat="1" ht="15" x14ac:dyDescent="0.2">
      <c r="B34" s="102"/>
      <c r="C34" s="53" t="s">
        <v>5</v>
      </c>
      <c r="D34" s="61">
        <f>D12*(1-D24)</f>
        <v>8460000</v>
      </c>
      <c r="E34" s="61">
        <f>D12*(1+D24)</f>
        <v>10340000</v>
      </c>
      <c r="F34" s="105"/>
    </row>
    <row r="35" spans="2:6" s="3" customFormat="1" ht="15" x14ac:dyDescent="0.2">
      <c r="B35" s="102"/>
      <c r="C35" s="53" t="s">
        <v>140</v>
      </c>
      <c r="D35" s="62">
        <f>D13*(1-D24)</f>
        <v>8100</v>
      </c>
      <c r="E35" s="62">
        <f>D13*(1+D24)</f>
        <v>9900</v>
      </c>
      <c r="F35" s="105"/>
    </row>
    <row r="36" spans="2:6" s="3" customFormat="1" ht="15" x14ac:dyDescent="0.2">
      <c r="B36" s="102"/>
      <c r="C36" s="53" t="s">
        <v>141</v>
      </c>
      <c r="D36" s="62">
        <f>D16*(1+D24)</f>
        <v>13200.000000000002</v>
      </c>
      <c r="E36" s="62">
        <f>D16*(1-D24)</f>
        <v>10800</v>
      </c>
      <c r="F36" s="105"/>
    </row>
    <row r="37" spans="2:6" s="3" customFormat="1" ht="15" x14ac:dyDescent="0.2">
      <c r="B37" s="102"/>
      <c r="C37" s="53"/>
      <c r="D37" s="53"/>
      <c r="E37" s="53"/>
      <c r="F37" s="105"/>
    </row>
    <row r="38" spans="2:6" s="3" customFormat="1" ht="15" x14ac:dyDescent="0.2">
      <c r="B38" s="102"/>
      <c r="C38" s="179" t="s">
        <v>40</v>
      </c>
      <c r="D38" s="138"/>
      <c r="E38" s="62"/>
      <c r="F38" s="105"/>
    </row>
    <row r="39" spans="2:6" s="3" customFormat="1" ht="15" x14ac:dyDescent="0.2">
      <c r="B39" s="102"/>
      <c r="C39" s="103" t="s">
        <v>119</v>
      </c>
      <c r="D39" s="296">
        <f>-D7</f>
        <v>-29400000</v>
      </c>
      <c r="E39" s="111"/>
      <c r="F39" s="105"/>
    </row>
    <row r="40" spans="2:6" s="3" customFormat="1" ht="15" x14ac:dyDescent="0.2">
      <c r="B40" s="102"/>
      <c r="C40" s="103" t="s">
        <v>120</v>
      </c>
      <c r="D40" s="312">
        <f>-D21</f>
        <v>-2400000</v>
      </c>
      <c r="E40" s="180"/>
      <c r="F40" s="105"/>
    </row>
    <row r="41" spans="2:6" s="3" customFormat="1" ht="15" x14ac:dyDescent="0.2">
      <c r="B41" s="102"/>
      <c r="C41" s="103" t="s">
        <v>121</v>
      </c>
      <c r="D41" s="180">
        <f>D39+D40</f>
        <v>-31800000</v>
      </c>
      <c r="E41" s="180"/>
      <c r="F41" s="105"/>
    </row>
    <row r="42" spans="2:6" s="3" customFormat="1" ht="15" x14ac:dyDescent="0.2">
      <c r="B42" s="102"/>
      <c r="C42" s="103"/>
      <c r="D42" s="180"/>
      <c r="E42" s="180"/>
      <c r="F42" s="105"/>
    </row>
    <row r="43" spans="2:6" s="3" customFormat="1" ht="15" x14ac:dyDescent="0.2">
      <c r="B43" s="102"/>
      <c r="C43" s="103"/>
      <c r="D43" s="190" t="s">
        <v>57</v>
      </c>
      <c r="E43" s="190" t="s">
        <v>136</v>
      </c>
      <c r="F43" s="105"/>
    </row>
    <row r="44" spans="2:6" s="3" customFormat="1" ht="15" x14ac:dyDescent="0.2">
      <c r="B44" s="102"/>
      <c r="C44" s="103" t="s">
        <v>122</v>
      </c>
      <c r="D44" s="180">
        <f>D31*D32</f>
        <v>57475000.000000007</v>
      </c>
      <c r="E44" s="180">
        <f>E31*E32</f>
        <v>38475000</v>
      </c>
      <c r="F44" s="105"/>
    </row>
    <row r="45" spans="2:6" s="3" customFormat="1" ht="15" x14ac:dyDescent="0.2">
      <c r="B45" s="102"/>
      <c r="C45" s="103" t="s">
        <v>123</v>
      </c>
      <c r="D45" s="181">
        <f>-D35*D14</f>
        <v>-11745000</v>
      </c>
      <c r="E45" s="181">
        <f>-E35*D14</f>
        <v>-14355000</v>
      </c>
      <c r="F45" s="105"/>
    </row>
    <row r="46" spans="2:6" s="3" customFormat="1" ht="15" x14ac:dyDescent="0.2">
      <c r="B46" s="102"/>
      <c r="C46" s="103" t="s">
        <v>124</v>
      </c>
      <c r="D46" s="182">
        <f>D36*D17</f>
        <v>6270000.0000000009</v>
      </c>
      <c r="E46" s="182">
        <f>E36*D17</f>
        <v>5130000</v>
      </c>
      <c r="F46" s="105"/>
    </row>
    <row r="47" spans="2:6" s="3" customFormat="1" ht="15" x14ac:dyDescent="0.2">
      <c r="B47" s="102"/>
      <c r="C47" s="103" t="s">
        <v>125</v>
      </c>
      <c r="D47" s="180">
        <f>D44+D45+D46</f>
        <v>52000000.000000007</v>
      </c>
      <c r="E47" s="180">
        <f>E44+E45+E46</f>
        <v>29250000</v>
      </c>
      <c r="F47" s="105"/>
    </row>
    <row r="48" spans="2:6" s="3" customFormat="1" ht="15" x14ac:dyDescent="0.2">
      <c r="B48" s="102"/>
      <c r="C48" s="103"/>
      <c r="D48" s="180"/>
      <c r="E48" s="180"/>
      <c r="F48" s="105"/>
    </row>
    <row r="49" spans="2:6" s="3" customFormat="1" ht="15" x14ac:dyDescent="0.2">
      <c r="B49" s="102"/>
      <c r="C49" s="103" t="s">
        <v>126</v>
      </c>
      <c r="D49" s="180">
        <f>-D31*D33</f>
        <v>-20542500.000000004</v>
      </c>
      <c r="E49" s="180">
        <f>-E31*E33</f>
        <v>-20542500.000000004</v>
      </c>
      <c r="F49" s="105"/>
    </row>
    <row r="50" spans="2:6" s="3" customFormat="1" ht="15" x14ac:dyDescent="0.2">
      <c r="B50" s="102"/>
      <c r="C50" s="103" t="s">
        <v>127</v>
      </c>
      <c r="D50" s="181">
        <f>D35*D15</f>
        <v>4779000</v>
      </c>
      <c r="E50" s="181">
        <f>E35*D15</f>
        <v>5841000</v>
      </c>
      <c r="F50" s="105"/>
    </row>
    <row r="51" spans="2:6" s="3" customFormat="1" ht="15" x14ac:dyDescent="0.2">
      <c r="B51" s="102"/>
      <c r="C51" s="103" t="s">
        <v>128</v>
      </c>
      <c r="D51" s="182">
        <f>-D36*D18</f>
        <v>-2772000.0000000005</v>
      </c>
      <c r="E51" s="182">
        <f>-E36*D18</f>
        <v>-2268000</v>
      </c>
      <c r="F51" s="105"/>
    </row>
    <row r="52" spans="2:6" s="3" customFormat="1" ht="15" x14ac:dyDescent="0.2">
      <c r="B52" s="102"/>
      <c r="C52" s="103" t="s">
        <v>129</v>
      </c>
      <c r="D52" s="180">
        <f>D49+D50+D51</f>
        <v>-18535500.000000004</v>
      </c>
      <c r="E52" s="180">
        <f>E49+E50+E51</f>
        <v>-16969500.000000004</v>
      </c>
      <c r="F52" s="105"/>
    </row>
    <row r="53" spans="2:6" s="3" customFormat="1" ht="15" x14ac:dyDescent="0.2">
      <c r="B53" s="102"/>
      <c r="C53" s="103"/>
      <c r="D53" s="183"/>
      <c r="E53" s="183"/>
      <c r="F53" s="105"/>
    </row>
    <row r="54" spans="2:6" s="3" customFormat="1" ht="15" x14ac:dyDescent="0.2">
      <c r="B54" s="102"/>
      <c r="C54" s="103" t="s">
        <v>130</v>
      </c>
      <c r="D54" s="180">
        <f>D47</f>
        <v>52000000.000000007</v>
      </c>
      <c r="E54" s="180">
        <f>E47</f>
        <v>29250000</v>
      </c>
      <c r="F54" s="105"/>
    </row>
    <row r="55" spans="2:6" s="3" customFormat="1" ht="15" x14ac:dyDescent="0.2">
      <c r="B55" s="102"/>
      <c r="C55" s="164" t="s">
        <v>129</v>
      </c>
      <c r="D55" s="181">
        <f>-D52</f>
        <v>18535500.000000004</v>
      </c>
      <c r="E55" s="181">
        <f>-E52</f>
        <v>16969500.000000004</v>
      </c>
      <c r="F55" s="105"/>
    </row>
    <row r="56" spans="2:6" s="3" customFormat="1" ht="15" x14ac:dyDescent="0.2">
      <c r="B56" s="102"/>
      <c r="C56" s="103" t="s">
        <v>37</v>
      </c>
      <c r="D56" s="181">
        <f>D34</f>
        <v>8460000</v>
      </c>
      <c r="E56" s="181">
        <f>E34</f>
        <v>10340000</v>
      </c>
      <c r="F56" s="105"/>
    </row>
    <row r="57" spans="2:6" s="3" customFormat="1" ht="15" x14ac:dyDescent="0.2">
      <c r="B57" s="102"/>
      <c r="C57" s="103" t="s">
        <v>6</v>
      </c>
      <c r="D57" s="182">
        <f>D7/D8</f>
        <v>4200000</v>
      </c>
      <c r="E57" s="182">
        <f>D7/D8</f>
        <v>4200000</v>
      </c>
      <c r="F57" s="105"/>
    </row>
    <row r="58" spans="2:6" s="3" customFormat="1" ht="15" x14ac:dyDescent="0.2">
      <c r="B58" s="102"/>
      <c r="C58" s="103" t="s">
        <v>44</v>
      </c>
      <c r="D58" s="180">
        <f>D54-D55-D56-D57</f>
        <v>20804500.000000004</v>
      </c>
      <c r="E58" s="180">
        <f>E54-E55-E56-E57</f>
        <v>-2259500.0000000037</v>
      </c>
      <c r="F58" s="105"/>
    </row>
    <row r="59" spans="2:6" s="3" customFormat="1" ht="15" x14ac:dyDescent="0.2">
      <c r="B59" s="102"/>
      <c r="C59" s="103" t="s">
        <v>35</v>
      </c>
      <c r="D59" s="182">
        <f>D58*D22</f>
        <v>4993080.0000000009</v>
      </c>
      <c r="E59" s="182">
        <f>E58*D22</f>
        <v>-542280.00000000093</v>
      </c>
      <c r="F59" s="105"/>
    </row>
    <row r="60" spans="2:6" s="3" customFormat="1" ht="15" x14ac:dyDescent="0.2">
      <c r="B60" s="102"/>
      <c r="C60" s="103" t="s">
        <v>45</v>
      </c>
      <c r="D60" s="180">
        <f>D58-D59</f>
        <v>15811420.000000004</v>
      </c>
      <c r="E60" s="180">
        <f>E58-E59</f>
        <v>-1717220.0000000028</v>
      </c>
      <c r="F60" s="105"/>
    </row>
    <row r="61" spans="2:6" s="3" customFormat="1" ht="15" x14ac:dyDescent="0.2">
      <c r="B61" s="102"/>
      <c r="C61" s="103"/>
      <c r="D61" s="183"/>
      <c r="E61" s="183"/>
      <c r="F61" s="105"/>
    </row>
    <row r="62" spans="2:6" s="3" customFormat="1" ht="15" x14ac:dyDescent="0.2">
      <c r="B62" s="102"/>
      <c r="C62" s="103" t="s">
        <v>9</v>
      </c>
      <c r="D62" s="180">
        <f>D58+D57-D59</f>
        <v>20011420.000000004</v>
      </c>
      <c r="E62" s="180">
        <f>E58+E57-E59</f>
        <v>2482779.9999999972</v>
      </c>
      <c r="F62" s="105"/>
    </row>
    <row r="63" spans="2:6" s="3" customFormat="1" ht="15.75" x14ac:dyDescent="0.25">
      <c r="B63" s="102"/>
      <c r="C63" s="103"/>
      <c r="D63" s="184"/>
      <c r="E63" s="184"/>
      <c r="F63" s="105"/>
    </row>
    <row r="64" spans="2:6" s="3" customFormat="1" ht="15" x14ac:dyDescent="0.2">
      <c r="B64" s="102"/>
      <c r="C64" s="103" t="s">
        <v>131</v>
      </c>
      <c r="D64" s="183"/>
      <c r="E64" s="183"/>
      <c r="F64" s="105"/>
    </row>
    <row r="65" spans="2:6" s="3" customFormat="1" ht="17.25" x14ac:dyDescent="0.35">
      <c r="B65" s="102"/>
      <c r="C65" s="185" t="s">
        <v>132</v>
      </c>
      <c r="D65" s="186" t="s">
        <v>133</v>
      </c>
      <c r="E65" s="186" t="s">
        <v>133</v>
      </c>
      <c r="F65" s="105"/>
    </row>
    <row r="66" spans="2:6" s="3" customFormat="1" ht="15" x14ac:dyDescent="0.2">
      <c r="B66" s="126"/>
      <c r="C66" s="103">
        <v>0</v>
      </c>
      <c r="D66" s="180">
        <f>D41</f>
        <v>-31800000</v>
      </c>
      <c r="E66" s="180">
        <f>D41</f>
        <v>-31800000</v>
      </c>
      <c r="F66" s="105"/>
    </row>
    <row r="67" spans="2:6" s="3" customFormat="1" ht="15" x14ac:dyDescent="0.2">
      <c r="B67" s="102"/>
      <c r="C67" s="103">
        <v>1</v>
      </c>
      <c r="D67" s="181">
        <f>D62</f>
        <v>20011420.000000004</v>
      </c>
      <c r="E67" s="181">
        <f>E62</f>
        <v>2482779.9999999972</v>
      </c>
      <c r="F67" s="105"/>
    </row>
    <row r="68" spans="2:6" s="3" customFormat="1" ht="15" x14ac:dyDescent="0.2">
      <c r="B68" s="102"/>
      <c r="C68" s="103">
        <v>2</v>
      </c>
      <c r="D68" s="181">
        <f>D62</f>
        <v>20011420.000000004</v>
      </c>
      <c r="E68" s="181">
        <f>E62</f>
        <v>2482779.9999999972</v>
      </c>
      <c r="F68" s="105"/>
    </row>
    <row r="69" spans="2:6" s="3" customFormat="1" ht="15" x14ac:dyDescent="0.2">
      <c r="B69" s="102"/>
      <c r="C69" s="103">
        <v>3</v>
      </c>
      <c r="D69" s="181">
        <f>D62</f>
        <v>20011420.000000004</v>
      </c>
      <c r="E69" s="181">
        <f>E62</f>
        <v>2482779.9999999972</v>
      </c>
      <c r="F69" s="105"/>
    </row>
    <row r="70" spans="2:6" s="3" customFormat="1" ht="15" x14ac:dyDescent="0.2">
      <c r="B70" s="102"/>
      <c r="C70" s="103">
        <v>4</v>
      </c>
      <c r="D70" s="181">
        <f>D62</f>
        <v>20011420.000000004</v>
      </c>
      <c r="E70" s="181">
        <f>E62</f>
        <v>2482779.9999999972</v>
      </c>
      <c r="F70" s="105"/>
    </row>
    <row r="71" spans="2:6" s="3" customFormat="1" ht="15" x14ac:dyDescent="0.2">
      <c r="B71" s="102"/>
      <c r="C71" s="103">
        <v>5</v>
      </c>
      <c r="D71" s="181">
        <f>D62</f>
        <v>20011420.000000004</v>
      </c>
      <c r="E71" s="181">
        <f>E62</f>
        <v>2482779.9999999972</v>
      </c>
      <c r="F71" s="105"/>
    </row>
    <row r="72" spans="2:6" s="3" customFormat="1" ht="15" x14ac:dyDescent="0.2">
      <c r="B72" s="102"/>
      <c r="C72" s="103">
        <v>6</v>
      </c>
      <c r="D72" s="181">
        <f>D62</f>
        <v>20011420.000000004</v>
      </c>
      <c r="E72" s="181">
        <f>E62</f>
        <v>2482779.9999999972</v>
      </c>
      <c r="F72" s="105"/>
    </row>
    <row r="73" spans="2:6" s="3" customFormat="1" ht="15" x14ac:dyDescent="0.2">
      <c r="B73" s="102"/>
      <c r="C73" s="103">
        <v>7</v>
      </c>
      <c r="D73" s="181">
        <f>D62+D21</f>
        <v>22411420.000000004</v>
      </c>
      <c r="E73" s="181">
        <f>E62+D21</f>
        <v>4882779.9999999972</v>
      </c>
      <c r="F73" s="105"/>
    </row>
    <row r="74" spans="2:6" s="3" customFormat="1" ht="15" x14ac:dyDescent="0.2">
      <c r="B74" s="102"/>
      <c r="C74" s="103"/>
      <c r="D74" s="183"/>
      <c r="E74" s="183"/>
      <c r="F74" s="105"/>
    </row>
    <row r="75" spans="2:6" s="3" customFormat="1" ht="15.75" x14ac:dyDescent="0.25">
      <c r="B75" s="102"/>
      <c r="C75" s="103" t="s">
        <v>18</v>
      </c>
      <c r="D75" s="188">
        <f>NPV(D23,D67:D73)+D66</f>
        <v>54974198.796781406</v>
      </c>
      <c r="E75" s="191">
        <f>NPV(D23,E67:E73)+E66</f>
        <v>-20193952.937576219</v>
      </c>
      <c r="F75" s="105"/>
    </row>
    <row r="76" spans="2:6" s="3" customFormat="1" ht="15" customHeight="1" thickBot="1" x14ac:dyDescent="0.25">
      <c r="B76" s="106"/>
      <c r="C76" s="107"/>
      <c r="D76" s="107"/>
      <c r="E76" s="107"/>
      <c r="F76" s="108"/>
    </row>
    <row r="77" spans="2:6" s="3" customFormat="1" ht="15" x14ac:dyDescent="0.2"/>
  </sheetData>
  <phoneticPr fontId="0" type="noConversion"/>
  <pageMargins left="0.75" right="0.75" top="1" bottom="1" header="0.5" footer="0.5"/>
  <pageSetup scale="59"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2112"/>
  <dimension ref="B1:F7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85546875" customWidth="1"/>
    <col min="4" max="5" width="18.85546875" bestFit="1" customWidth="1"/>
    <col min="6" max="6" width="3.140625" customWidth="1"/>
  </cols>
  <sheetData>
    <row r="1" spans="2:5" ht="18" x14ac:dyDescent="0.25">
      <c r="C1" s="1" t="s">
        <v>332</v>
      </c>
    </row>
    <row r="2" spans="2:5" ht="15" x14ac:dyDescent="0.2">
      <c r="C2" s="3" t="s">
        <v>23</v>
      </c>
    </row>
    <row r="4" spans="2:5" ht="15" x14ac:dyDescent="0.2">
      <c r="C4" s="2" t="s">
        <v>1</v>
      </c>
      <c r="D4" s="3"/>
      <c r="E4" s="3"/>
    </row>
    <row r="5" spans="2:5" s="3" customFormat="1" ht="15.75" thickBot="1" x14ac:dyDescent="0.25">
      <c r="C5" s="89"/>
      <c r="D5" s="90"/>
    </row>
    <row r="6" spans="2:5" s="3" customFormat="1" ht="15" x14ac:dyDescent="0.2">
      <c r="B6" s="91"/>
      <c r="C6" s="92"/>
      <c r="D6" s="93"/>
      <c r="E6" s="94"/>
    </row>
    <row r="7" spans="2:5" s="3" customFormat="1" ht="15" x14ac:dyDescent="0.2">
      <c r="B7" s="95"/>
      <c r="C7" s="96" t="s">
        <v>108</v>
      </c>
      <c r="D7" s="112">
        <f>'#14'!D19</f>
        <v>29400000</v>
      </c>
      <c r="E7" s="97"/>
    </row>
    <row r="8" spans="2:5" s="3" customFormat="1" ht="15" x14ac:dyDescent="0.2">
      <c r="B8" s="95"/>
      <c r="C8" s="96" t="s">
        <v>59</v>
      </c>
      <c r="D8" s="192">
        <f>'#14'!D10</f>
        <v>50000</v>
      </c>
      <c r="E8" s="97"/>
    </row>
    <row r="9" spans="2:5" s="3" customFormat="1" ht="15" x14ac:dyDescent="0.2">
      <c r="B9" s="95"/>
      <c r="C9" s="96" t="s">
        <v>64</v>
      </c>
      <c r="D9" s="193">
        <f>'#14'!D7</f>
        <v>950</v>
      </c>
      <c r="E9" s="97"/>
    </row>
    <row r="10" spans="2:5" s="3" customFormat="1" ht="15" x14ac:dyDescent="0.2">
      <c r="B10" s="95"/>
      <c r="C10" s="96" t="s">
        <v>42</v>
      </c>
      <c r="D10" s="193">
        <f>'#14'!D8</f>
        <v>415</v>
      </c>
      <c r="E10" s="97"/>
    </row>
    <row r="11" spans="2:5" s="3" customFormat="1" ht="15" x14ac:dyDescent="0.2">
      <c r="B11" s="95"/>
      <c r="C11" s="96" t="s">
        <v>37</v>
      </c>
      <c r="D11" s="193">
        <f>'#14'!D17</f>
        <v>9400000</v>
      </c>
      <c r="E11" s="97"/>
    </row>
    <row r="12" spans="2:5" s="3" customFormat="1" ht="15" x14ac:dyDescent="0.2">
      <c r="B12" s="95"/>
      <c r="C12" s="96" t="s">
        <v>109</v>
      </c>
      <c r="D12" s="194">
        <f>'#14'!D11</f>
        <v>9000</v>
      </c>
      <c r="E12" s="97"/>
    </row>
    <row r="13" spans="2:5" s="3" customFormat="1" ht="15" x14ac:dyDescent="0.2">
      <c r="B13" s="95"/>
      <c r="C13" s="96" t="s">
        <v>110</v>
      </c>
      <c r="D13" s="195">
        <f>'#14'!D12</f>
        <v>1450</v>
      </c>
      <c r="E13" s="97"/>
    </row>
    <row r="14" spans="2:5" s="3" customFormat="1" ht="15" x14ac:dyDescent="0.2">
      <c r="B14" s="95"/>
      <c r="C14" s="96" t="s">
        <v>111</v>
      </c>
      <c r="D14" s="195">
        <f>'#14'!D13</f>
        <v>590</v>
      </c>
      <c r="E14" s="97"/>
    </row>
    <row r="15" spans="2:5" s="3" customFormat="1" ht="15" x14ac:dyDescent="0.2">
      <c r="B15" s="95"/>
      <c r="C15" s="96" t="s">
        <v>112</v>
      </c>
      <c r="D15" s="192">
        <f>'#14'!D14</f>
        <v>12000</v>
      </c>
      <c r="E15" s="97"/>
    </row>
    <row r="16" spans="2:5" s="3" customFormat="1" ht="15" x14ac:dyDescent="0.2">
      <c r="B16" s="95"/>
      <c r="C16" s="96" t="s">
        <v>113</v>
      </c>
      <c r="D16" s="195">
        <f>'#14'!D15</f>
        <v>475</v>
      </c>
      <c r="E16" s="97"/>
    </row>
    <row r="17" spans="2:6" s="3" customFormat="1" ht="15" x14ac:dyDescent="0.2">
      <c r="B17" s="95"/>
      <c r="C17" s="96" t="s">
        <v>114</v>
      </c>
      <c r="D17" s="195">
        <f>'#14'!D16</f>
        <v>210</v>
      </c>
      <c r="E17" s="97"/>
    </row>
    <row r="18" spans="2:6" s="3" customFormat="1" ht="15" x14ac:dyDescent="0.2">
      <c r="B18" s="95"/>
      <c r="C18" s="96" t="s">
        <v>115</v>
      </c>
      <c r="D18" s="195">
        <f>'#14'!D9</f>
        <v>150000</v>
      </c>
      <c r="E18" s="97" t="s">
        <v>116</v>
      </c>
    </row>
    <row r="19" spans="2:6" s="3" customFormat="1" ht="15" x14ac:dyDescent="0.2">
      <c r="B19" s="95"/>
      <c r="C19" s="96" t="s">
        <v>117</v>
      </c>
      <c r="D19" s="195">
        <f>'#14'!D18</f>
        <v>1000000</v>
      </c>
      <c r="E19" s="97" t="s">
        <v>116</v>
      </c>
    </row>
    <row r="20" spans="2:6" s="3" customFormat="1" ht="15" x14ac:dyDescent="0.2">
      <c r="B20" s="95"/>
      <c r="C20" s="96" t="s">
        <v>39</v>
      </c>
      <c r="D20" s="195">
        <f>'#14'!D21</f>
        <v>2400000</v>
      </c>
      <c r="E20" s="97"/>
    </row>
    <row r="21" spans="2:6" s="3" customFormat="1" ht="15" x14ac:dyDescent="0.2">
      <c r="B21" s="95"/>
      <c r="C21" s="96" t="s">
        <v>7</v>
      </c>
      <c r="D21" s="196">
        <f>'#14'!D22</f>
        <v>0.24</v>
      </c>
      <c r="E21" s="97"/>
    </row>
    <row r="22" spans="2:6" s="3" customFormat="1" ht="15" x14ac:dyDescent="0.2">
      <c r="B22" s="95"/>
      <c r="C22" s="96" t="s">
        <v>118</v>
      </c>
      <c r="D22" s="196">
        <f>'#14'!D23</f>
        <v>0.14000000000000001</v>
      </c>
      <c r="E22" s="97"/>
    </row>
    <row r="23" spans="2:6" s="3" customFormat="1" ht="15" x14ac:dyDescent="0.2">
      <c r="B23" s="95"/>
      <c r="C23" s="96" t="s">
        <v>142</v>
      </c>
      <c r="D23" s="125">
        <v>960</v>
      </c>
      <c r="E23" s="97"/>
    </row>
    <row r="24" spans="2:6" s="3" customFormat="1" ht="15" x14ac:dyDescent="0.2">
      <c r="B24" s="95"/>
      <c r="C24" s="96" t="s">
        <v>70</v>
      </c>
      <c r="D24" s="129">
        <v>51000</v>
      </c>
      <c r="E24" s="97"/>
    </row>
    <row r="25" spans="2:6" s="3" customFormat="1" ht="15" customHeight="1" thickBot="1" x14ac:dyDescent="0.25">
      <c r="B25" s="98"/>
      <c r="C25" s="99"/>
      <c r="D25" s="178"/>
      <c r="E25" s="40"/>
    </row>
    <row r="26" spans="2:6" s="3" customFormat="1" ht="15" x14ac:dyDescent="0.2"/>
    <row r="27" spans="2:6" s="3" customFormat="1" ht="15" x14ac:dyDescent="0.2">
      <c r="C27" s="2" t="s">
        <v>2</v>
      </c>
    </row>
    <row r="28" spans="2:6" s="3" customFormat="1" ht="15.75" thickBot="1" x14ac:dyDescent="0.25">
      <c r="C28" s="89"/>
    </row>
    <row r="29" spans="2:6" s="3" customFormat="1" ht="15" x14ac:dyDescent="0.2">
      <c r="B29" s="100"/>
      <c r="C29" s="101"/>
      <c r="D29" s="101"/>
      <c r="E29" s="101"/>
      <c r="F29" s="58"/>
    </row>
    <row r="30" spans="2:6" s="3" customFormat="1" ht="15" x14ac:dyDescent="0.2">
      <c r="B30" s="102"/>
      <c r="C30" s="179" t="s">
        <v>40</v>
      </c>
      <c r="D30" s="138"/>
      <c r="E30" s="62"/>
      <c r="F30" s="105"/>
    </row>
    <row r="31" spans="2:6" s="3" customFormat="1" ht="15" x14ac:dyDescent="0.2">
      <c r="B31" s="102"/>
      <c r="C31" s="103" t="s">
        <v>119</v>
      </c>
      <c r="D31" s="296">
        <f>-D7</f>
        <v>-29400000</v>
      </c>
      <c r="E31" s="111"/>
      <c r="F31" s="105"/>
    </row>
    <row r="32" spans="2:6" s="3" customFormat="1" ht="15" x14ac:dyDescent="0.2">
      <c r="B32" s="102"/>
      <c r="C32" s="103" t="s">
        <v>120</v>
      </c>
      <c r="D32" s="312">
        <f>-D20</f>
        <v>-2400000</v>
      </c>
      <c r="E32" s="180"/>
      <c r="F32" s="105"/>
    </row>
    <row r="33" spans="2:6" s="3" customFormat="1" ht="15" x14ac:dyDescent="0.2">
      <c r="B33" s="102"/>
      <c r="C33" s="103" t="s">
        <v>121</v>
      </c>
      <c r="D33" s="180">
        <f>D31+D32</f>
        <v>-31800000</v>
      </c>
      <c r="E33" s="180"/>
      <c r="F33" s="105"/>
    </row>
    <row r="34" spans="2:6" s="3" customFormat="1" ht="15" x14ac:dyDescent="0.2">
      <c r="B34" s="102"/>
      <c r="C34" s="103"/>
      <c r="D34" s="180"/>
      <c r="E34" s="180"/>
      <c r="F34" s="105"/>
    </row>
    <row r="35" spans="2:6" s="3" customFormat="1" ht="15.75" x14ac:dyDescent="0.25">
      <c r="B35" s="102"/>
      <c r="C35" s="103"/>
      <c r="D35" s="197" t="s">
        <v>143</v>
      </c>
      <c r="E35" s="197" t="s">
        <v>144</v>
      </c>
      <c r="F35" s="105"/>
    </row>
    <row r="36" spans="2:6" s="3" customFormat="1" ht="15" x14ac:dyDescent="0.2">
      <c r="B36" s="102"/>
      <c r="C36" s="103" t="s">
        <v>122</v>
      </c>
      <c r="D36" s="180">
        <f>D8*D23</f>
        <v>48000000</v>
      </c>
      <c r="E36" s="180">
        <f>D24*D9</f>
        <v>48450000</v>
      </c>
      <c r="F36" s="105"/>
    </row>
    <row r="37" spans="2:6" s="3" customFormat="1" ht="15" x14ac:dyDescent="0.2">
      <c r="B37" s="102"/>
      <c r="C37" s="103" t="s">
        <v>123</v>
      </c>
      <c r="D37" s="181">
        <f>-$D$12*$D$13</f>
        <v>-13050000</v>
      </c>
      <c r="E37" s="181">
        <f>-$D$12*$D$13</f>
        <v>-13050000</v>
      </c>
      <c r="F37" s="105"/>
    </row>
    <row r="38" spans="2:6" s="3" customFormat="1" ht="15" x14ac:dyDescent="0.2">
      <c r="B38" s="102"/>
      <c r="C38" s="103" t="s">
        <v>124</v>
      </c>
      <c r="D38" s="182">
        <f>$D$15*$D$16</f>
        <v>5700000</v>
      </c>
      <c r="E38" s="182">
        <f>$D$15*$D$16</f>
        <v>5700000</v>
      </c>
      <c r="F38" s="105"/>
    </row>
    <row r="39" spans="2:6" s="3" customFormat="1" ht="15" x14ac:dyDescent="0.2">
      <c r="B39" s="102"/>
      <c r="C39" s="103" t="s">
        <v>125</v>
      </c>
      <c r="D39" s="180">
        <f>D36+D37+D38</f>
        <v>40650000</v>
      </c>
      <c r="E39" s="180">
        <f>E36+E37+E38</f>
        <v>41100000</v>
      </c>
      <c r="F39" s="105"/>
    </row>
    <row r="40" spans="2:6" s="3" customFormat="1" ht="15" x14ac:dyDescent="0.2">
      <c r="B40" s="102"/>
      <c r="C40" s="103"/>
      <c r="D40" s="180"/>
      <c r="E40" s="180"/>
      <c r="F40" s="105"/>
    </row>
    <row r="41" spans="2:6" s="3" customFormat="1" ht="15" x14ac:dyDescent="0.2">
      <c r="B41" s="102"/>
      <c r="C41" s="103" t="s">
        <v>126</v>
      </c>
      <c r="D41" s="180">
        <f>-D8*D10</f>
        <v>-20750000</v>
      </c>
      <c r="E41" s="180">
        <f>-D24*D10</f>
        <v>-21165000</v>
      </c>
      <c r="F41" s="105"/>
    </row>
    <row r="42" spans="2:6" s="3" customFormat="1" ht="15" x14ac:dyDescent="0.2">
      <c r="B42" s="102"/>
      <c r="C42" s="103" t="s">
        <v>127</v>
      </c>
      <c r="D42" s="181">
        <f>$D$12*$D$14</f>
        <v>5310000</v>
      </c>
      <c r="E42" s="181">
        <f>$D$12*$D$14</f>
        <v>5310000</v>
      </c>
      <c r="F42" s="105"/>
    </row>
    <row r="43" spans="2:6" s="3" customFormat="1" ht="15" x14ac:dyDescent="0.2">
      <c r="B43" s="102"/>
      <c r="C43" s="103" t="s">
        <v>128</v>
      </c>
      <c r="D43" s="182">
        <f>$D$15*-$D$17</f>
        <v>-2520000</v>
      </c>
      <c r="E43" s="182">
        <f>$D$15*-$D$17</f>
        <v>-2520000</v>
      </c>
      <c r="F43" s="105"/>
    </row>
    <row r="44" spans="2:6" s="3" customFormat="1" ht="15" x14ac:dyDescent="0.2">
      <c r="B44" s="102"/>
      <c r="C44" s="103" t="s">
        <v>129</v>
      </c>
      <c r="D44" s="180">
        <f>D41+D42+D43</f>
        <v>-17960000</v>
      </c>
      <c r="E44" s="180">
        <f>E41+E42+E43</f>
        <v>-18375000</v>
      </c>
      <c r="F44" s="105"/>
    </row>
    <row r="45" spans="2:6" s="3" customFormat="1" ht="15" x14ac:dyDescent="0.2">
      <c r="B45" s="102"/>
      <c r="C45" s="103"/>
      <c r="D45" s="183"/>
      <c r="E45" s="183"/>
      <c r="F45" s="105"/>
    </row>
    <row r="46" spans="2:6" s="3" customFormat="1" ht="15" x14ac:dyDescent="0.2">
      <c r="B46" s="102"/>
      <c r="C46" s="103" t="s">
        <v>130</v>
      </c>
      <c r="D46" s="180">
        <f>D39</f>
        <v>40650000</v>
      </c>
      <c r="E46" s="180">
        <f>E39</f>
        <v>41100000</v>
      </c>
      <c r="F46" s="105"/>
    </row>
    <row r="47" spans="2:6" s="3" customFormat="1" ht="15" x14ac:dyDescent="0.2">
      <c r="B47" s="102"/>
      <c r="C47" s="164" t="s">
        <v>129</v>
      </c>
      <c r="D47" s="181">
        <f>-D44</f>
        <v>17960000</v>
      </c>
      <c r="E47" s="181">
        <f>-E44</f>
        <v>18375000</v>
      </c>
      <c r="F47" s="105"/>
    </row>
    <row r="48" spans="2:6" s="3" customFormat="1" ht="15" x14ac:dyDescent="0.2">
      <c r="B48" s="102"/>
      <c r="C48" s="103" t="s">
        <v>37</v>
      </c>
      <c r="D48" s="181">
        <f>D11</f>
        <v>9400000</v>
      </c>
      <c r="E48" s="181">
        <f>D11</f>
        <v>9400000</v>
      </c>
      <c r="F48" s="105"/>
    </row>
    <row r="49" spans="2:6" s="3" customFormat="1" ht="15" x14ac:dyDescent="0.2">
      <c r="B49" s="102"/>
      <c r="C49" s="103" t="s">
        <v>6</v>
      </c>
      <c r="D49" s="182">
        <f>D7/7</f>
        <v>4200000</v>
      </c>
      <c r="E49" s="182">
        <f>D7/7</f>
        <v>4200000</v>
      </c>
      <c r="F49" s="105"/>
    </row>
    <row r="50" spans="2:6" s="3" customFormat="1" ht="15" x14ac:dyDescent="0.2">
      <c r="B50" s="102"/>
      <c r="C50" s="103" t="s">
        <v>44</v>
      </c>
      <c r="D50" s="180">
        <f>D46-D47-D48-D49</f>
        <v>9090000</v>
      </c>
      <c r="E50" s="180">
        <f>E46-E47-E48-E49</f>
        <v>9125000</v>
      </c>
      <c r="F50" s="105"/>
    </row>
    <row r="51" spans="2:6" s="3" customFormat="1" ht="15" x14ac:dyDescent="0.2">
      <c r="B51" s="102"/>
      <c r="C51" s="103" t="s">
        <v>35</v>
      </c>
      <c r="D51" s="182">
        <f>D50*D21</f>
        <v>2181600</v>
      </c>
      <c r="E51" s="182">
        <f>E50*D21</f>
        <v>2190000</v>
      </c>
      <c r="F51" s="105"/>
    </row>
    <row r="52" spans="2:6" s="3" customFormat="1" ht="15" x14ac:dyDescent="0.2">
      <c r="B52" s="102"/>
      <c r="C52" s="103" t="s">
        <v>45</v>
      </c>
      <c r="D52" s="180">
        <f>D50-D51</f>
        <v>6908400</v>
      </c>
      <c r="E52" s="180">
        <f>E50-E51</f>
        <v>6935000</v>
      </c>
      <c r="F52" s="105"/>
    </row>
    <row r="53" spans="2:6" s="3" customFormat="1" ht="15" x14ac:dyDescent="0.2">
      <c r="B53" s="102"/>
      <c r="C53" s="103"/>
      <c r="D53" s="183"/>
      <c r="E53" s="183"/>
      <c r="F53" s="105"/>
    </row>
    <row r="54" spans="2:6" s="3" customFormat="1" ht="15" x14ac:dyDescent="0.2">
      <c r="B54" s="102"/>
      <c r="C54" s="103" t="s">
        <v>9</v>
      </c>
      <c r="D54" s="180">
        <f>D50+D49-D51</f>
        <v>11108400</v>
      </c>
      <c r="E54" s="180">
        <f>E50+E49-E51</f>
        <v>11135000</v>
      </c>
      <c r="F54" s="105"/>
    </row>
    <row r="55" spans="2:6" s="3" customFormat="1" ht="15.75" x14ac:dyDescent="0.25">
      <c r="B55" s="102"/>
      <c r="C55" s="103"/>
      <c r="D55" s="184"/>
      <c r="E55" s="184"/>
      <c r="F55" s="105"/>
    </row>
    <row r="56" spans="2:6" s="3" customFormat="1" ht="15" x14ac:dyDescent="0.2">
      <c r="B56" s="102"/>
      <c r="C56" s="103" t="s">
        <v>131</v>
      </c>
      <c r="D56" s="183"/>
      <c r="E56" s="183"/>
      <c r="F56" s="105"/>
    </row>
    <row r="57" spans="2:6" s="3" customFormat="1" ht="17.25" x14ac:dyDescent="0.35">
      <c r="B57" s="102"/>
      <c r="C57" s="185" t="s">
        <v>132</v>
      </c>
      <c r="D57" s="186" t="s">
        <v>133</v>
      </c>
      <c r="E57" s="186" t="s">
        <v>133</v>
      </c>
      <c r="F57" s="105"/>
    </row>
    <row r="58" spans="2:6" s="3" customFormat="1" ht="15" x14ac:dyDescent="0.2">
      <c r="B58" s="126"/>
      <c r="C58" s="103">
        <v>0</v>
      </c>
      <c r="D58" s="180">
        <f>D33</f>
        <v>-31800000</v>
      </c>
      <c r="E58" s="180">
        <f>D33</f>
        <v>-31800000</v>
      </c>
      <c r="F58" s="105"/>
    </row>
    <row r="59" spans="2:6" s="3" customFormat="1" ht="15" x14ac:dyDescent="0.2">
      <c r="B59" s="102"/>
      <c r="C59" s="103">
        <v>1</v>
      </c>
      <c r="D59" s="181">
        <f>D54</f>
        <v>11108400</v>
      </c>
      <c r="E59" s="181">
        <f>E54</f>
        <v>11135000</v>
      </c>
      <c r="F59" s="105"/>
    </row>
    <row r="60" spans="2:6" s="3" customFormat="1" ht="15" x14ac:dyDescent="0.2">
      <c r="B60" s="102"/>
      <c r="C60" s="103">
        <v>2</v>
      </c>
      <c r="D60" s="181">
        <f>D54</f>
        <v>11108400</v>
      </c>
      <c r="E60" s="181">
        <f>E54</f>
        <v>11135000</v>
      </c>
      <c r="F60" s="105"/>
    </row>
    <row r="61" spans="2:6" s="3" customFormat="1" ht="15" x14ac:dyDescent="0.2">
      <c r="B61" s="102"/>
      <c r="C61" s="103">
        <v>3</v>
      </c>
      <c r="D61" s="181">
        <f>D54</f>
        <v>11108400</v>
      </c>
      <c r="E61" s="181">
        <f>E54</f>
        <v>11135000</v>
      </c>
      <c r="F61" s="105"/>
    </row>
    <row r="62" spans="2:6" s="3" customFormat="1" ht="15" x14ac:dyDescent="0.2">
      <c r="B62" s="102"/>
      <c r="C62" s="103">
        <v>4</v>
      </c>
      <c r="D62" s="181">
        <f>D54</f>
        <v>11108400</v>
      </c>
      <c r="E62" s="181">
        <f>E54</f>
        <v>11135000</v>
      </c>
      <c r="F62" s="105"/>
    </row>
    <row r="63" spans="2:6" s="3" customFormat="1" ht="15" x14ac:dyDescent="0.2">
      <c r="B63" s="102"/>
      <c r="C63" s="103">
        <v>5</v>
      </c>
      <c r="D63" s="181">
        <f>D54</f>
        <v>11108400</v>
      </c>
      <c r="E63" s="181">
        <f>E54</f>
        <v>11135000</v>
      </c>
      <c r="F63" s="105"/>
    </row>
    <row r="64" spans="2:6" s="3" customFormat="1" ht="15" x14ac:dyDescent="0.2">
      <c r="B64" s="102"/>
      <c r="C64" s="103">
        <v>6</v>
      </c>
      <c r="D64" s="181">
        <f>D54</f>
        <v>11108400</v>
      </c>
      <c r="E64" s="181">
        <f>E54</f>
        <v>11135000</v>
      </c>
      <c r="F64" s="105"/>
    </row>
    <row r="65" spans="2:6" s="3" customFormat="1" ht="15" x14ac:dyDescent="0.2">
      <c r="B65" s="102"/>
      <c r="C65" s="103">
        <v>7</v>
      </c>
      <c r="D65" s="181">
        <f>D54+D20</f>
        <v>13508400</v>
      </c>
      <c r="E65" s="181">
        <f>E54+D20</f>
        <v>13535000</v>
      </c>
      <c r="F65" s="105"/>
    </row>
    <row r="66" spans="2:6" s="3" customFormat="1" ht="15" x14ac:dyDescent="0.2">
      <c r="B66" s="102"/>
      <c r="C66" s="103"/>
      <c r="D66" s="183"/>
      <c r="E66" s="183"/>
      <c r="F66" s="105"/>
    </row>
    <row r="67" spans="2:6" s="3" customFormat="1" ht="15" x14ac:dyDescent="0.2">
      <c r="B67" s="102"/>
      <c r="C67" s="103" t="s">
        <v>18</v>
      </c>
      <c r="D67" s="299">
        <f>NPV(D22,D59:D65)+D58</f>
        <v>16795335.048423253</v>
      </c>
      <c r="E67" s="299">
        <f>NPV(D22,E59:E65)+E58</f>
        <v>16909403.957142577</v>
      </c>
      <c r="F67" s="105"/>
    </row>
    <row r="68" spans="2:6" s="3" customFormat="1" ht="15.75" x14ac:dyDescent="0.25">
      <c r="B68" s="102"/>
      <c r="C68" s="199" t="s">
        <v>145</v>
      </c>
      <c r="D68" s="188">
        <f>(D67-'#14'!D67)/(D23-D9)</f>
        <v>162955.58388474956</v>
      </c>
      <c r="E68" s="198"/>
      <c r="F68" s="105"/>
    </row>
    <row r="69" spans="2:6" s="3" customFormat="1" ht="15.75" x14ac:dyDescent="0.25">
      <c r="B69" s="102"/>
      <c r="C69" s="199" t="s">
        <v>146</v>
      </c>
      <c r="D69" s="184"/>
      <c r="E69" s="127">
        <f>(E67-'#14'!D67)/(D24-D8)</f>
        <v>1743.6247475668192</v>
      </c>
      <c r="F69" s="105"/>
    </row>
    <row r="70" spans="2:6" s="3" customFormat="1" ht="15" customHeight="1" thickBot="1" x14ac:dyDescent="0.25">
      <c r="B70" s="106"/>
      <c r="C70" s="107"/>
      <c r="D70" s="107"/>
      <c r="E70" s="107"/>
      <c r="F70" s="108"/>
    </row>
    <row r="71" spans="2:6" s="3" customFormat="1" ht="15" x14ac:dyDescent="0.2"/>
  </sheetData>
  <phoneticPr fontId="0" type="noConversion"/>
  <pageMargins left="0.75" right="0.75" top="1" bottom="1" header="0.5" footer="0.5"/>
  <pageSetup scale="63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bestFit="1" customWidth="1"/>
    <col min="4" max="4" width="18.140625" customWidth="1"/>
    <col min="5" max="5" width="3.85546875" customWidth="1"/>
  </cols>
  <sheetData>
    <row r="1" spans="1:10" ht="18" x14ac:dyDescent="0.25">
      <c r="A1" s="3"/>
      <c r="B1" s="3"/>
      <c r="C1" s="1" t="s">
        <v>332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222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162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91"/>
      <c r="C6" s="93"/>
      <c r="D6" s="216"/>
      <c r="E6" s="94"/>
      <c r="F6" s="3"/>
      <c r="G6" s="3"/>
      <c r="H6" s="3"/>
      <c r="I6" s="3"/>
      <c r="J6" s="3"/>
    </row>
    <row r="7" spans="1:10" ht="15.75" customHeight="1" x14ac:dyDescent="0.2">
      <c r="A7" s="3"/>
      <c r="B7" s="95"/>
      <c r="C7" s="96" t="s">
        <v>195</v>
      </c>
      <c r="D7" s="217">
        <v>6500</v>
      </c>
      <c r="E7" s="97"/>
      <c r="F7" s="3"/>
      <c r="G7" s="3"/>
      <c r="H7" s="3"/>
      <c r="I7" s="3"/>
      <c r="J7" s="3"/>
    </row>
    <row r="8" spans="1:10" ht="15.75" customHeight="1" x14ac:dyDescent="0.2">
      <c r="A8" s="3"/>
      <c r="B8" s="95"/>
      <c r="C8" s="96" t="s">
        <v>196</v>
      </c>
      <c r="D8" s="125">
        <v>43</v>
      </c>
      <c r="E8" s="97"/>
      <c r="F8" s="3"/>
      <c r="G8" s="3"/>
      <c r="H8" s="3"/>
      <c r="I8" s="3"/>
      <c r="J8" s="3"/>
    </row>
    <row r="9" spans="1:10" ht="15.75" customHeight="1" x14ac:dyDescent="0.2">
      <c r="A9" s="3"/>
      <c r="B9" s="95"/>
      <c r="C9" s="96" t="s">
        <v>197</v>
      </c>
      <c r="D9" s="300">
        <f>D8*D7</f>
        <v>279500</v>
      </c>
      <c r="E9" s="97"/>
      <c r="F9" s="3"/>
      <c r="G9" s="3"/>
      <c r="H9" s="3"/>
      <c r="I9" s="3"/>
      <c r="J9" s="3"/>
    </row>
    <row r="10" spans="1:10" ht="15.75" customHeight="1" x14ac:dyDescent="0.2">
      <c r="A10" s="3"/>
      <c r="B10" s="95"/>
      <c r="C10" s="96" t="s">
        <v>22</v>
      </c>
      <c r="D10" s="125">
        <v>980000</v>
      </c>
      <c r="E10" s="97"/>
      <c r="F10" s="3"/>
      <c r="G10" s="3"/>
      <c r="H10" s="3"/>
      <c r="I10" s="3"/>
      <c r="J10" s="3"/>
    </row>
    <row r="11" spans="1:10" ht="15.75" customHeight="1" x14ac:dyDescent="0.2">
      <c r="A11" s="3"/>
      <c r="B11" s="95"/>
      <c r="C11" s="96" t="s">
        <v>198</v>
      </c>
      <c r="D11" s="217">
        <v>10</v>
      </c>
      <c r="E11" s="97"/>
      <c r="F11" s="3"/>
      <c r="G11" s="3"/>
      <c r="H11" s="3"/>
      <c r="I11" s="3"/>
      <c r="J11" s="3"/>
    </row>
    <row r="12" spans="1:10" ht="15.75" customHeight="1" x14ac:dyDescent="0.2">
      <c r="A12" s="3"/>
      <c r="B12" s="95"/>
      <c r="C12" s="96" t="s">
        <v>177</v>
      </c>
      <c r="D12" s="121">
        <v>0.16</v>
      </c>
      <c r="E12" s="97"/>
      <c r="F12" s="3"/>
      <c r="G12" s="3"/>
      <c r="H12" s="3"/>
      <c r="I12" s="3"/>
      <c r="J12" s="3"/>
    </row>
    <row r="13" spans="1:10" ht="15.75" customHeight="1" x14ac:dyDescent="0.2">
      <c r="A13" s="3"/>
      <c r="B13" s="95"/>
      <c r="C13" s="96" t="s">
        <v>199</v>
      </c>
      <c r="D13" s="125">
        <v>810000</v>
      </c>
      <c r="E13" s="97"/>
      <c r="F13" s="3"/>
      <c r="G13" s="3"/>
      <c r="H13" s="3"/>
      <c r="I13" s="3"/>
      <c r="J13" s="3"/>
    </row>
    <row r="14" spans="1:10" ht="15.75" customHeight="1" thickBot="1" x14ac:dyDescent="0.25">
      <c r="A14" s="3"/>
      <c r="B14" s="98"/>
      <c r="C14" s="99"/>
      <c r="D14" s="218"/>
      <c r="E14" s="40"/>
      <c r="F14" s="3"/>
      <c r="G14" s="3"/>
      <c r="H14" s="3"/>
      <c r="I14" s="3"/>
      <c r="J14" s="3"/>
    </row>
    <row r="15" spans="1:10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customHeight="1" x14ac:dyDescent="0.2">
      <c r="A16" s="3"/>
      <c r="B16" s="3"/>
      <c r="C16" s="2" t="s">
        <v>167</v>
      </c>
      <c r="D16" s="3"/>
      <c r="E16" s="3"/>
      <c r="F16" s="3"/>
      <c r="G16" s="3"/>
      <c r="H16" s="3"/>
      <c r="I16" s="3"/>
      <c r="J16" s="3"/>
    </row>
    <row r="17" spans="1:10" ht="15.75" customHeight="1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customHeight="1" x14ac:dyDescent="0.2">
      <c r="A18" s="3"/>
      <c r="B18" s="100"/>
      <c r="C18" s="101"/>
      <c r="D18" s="219"/>
      <c r="E18" s="58"/>
      <c r="F18" s="3"/>
      <c r="G18" s="3"/>
      <c r="H18" s="3"/>
      <c r="I18" s="3"/>
      <c r="J18" s="3"/>
    </row>
    <row r="19" spans="1:10" ht="15.75" customHeight="1" x14ac:dyDescent="0.25">
      <c r="A19" s="3"/>
      <c r="B19" s="126" t="s">
        <v>48</v>
      </c>
      <c r="C19" s="53" t="s">
        <v>18</v>
      </c>
      <c r="D19" s="127">
        <f>-D10+PV(D12,D11,-D9,0,0)</f>
        <v>370887.08022886352</v>
      </c>
      <c r="E19" s="105"/>
      <c r="F19" s="3"/>
      <c r="G19" s="3"/>
      <c r="H19" s="3"/>
      <c r="I19" s="3"/>
      <c r="J19" s="3"/>
    </row>
    <row r="20" spans="1:10" ht="15.75" customHeight="1" x14ac:dyDescent="0.25">
      <c r="A20" s="3"/>
      <c r="B20" s="126"/>
      <c r="C20" s="53"/>
      <c r="D20" s="134"/>
      <c r="E20" s="105"/>
      <c r="F20" s="3"/>
      <c r="G20" s="3"/>
      <c r="H20" s="3"/>
      <c r="I20" s="3"/>
      <c r="J20" s="3"/>
    </row>
    <row r="21" spans="1:10" ht="15.75" customHeight="1" x14ac:dyDescent="0.25">
      <c r="A21" s="3"/>
      <c r="B21" s="126" t="s">
        <v>49</v>
      </c>
      <c r="C21" s="53" t="s">
        <v>200</v>
      </c>
      <c r="D21" s="132">
        <f>D13/(D8*(PV(D12,D11-1,-1,0,0)))</f>
        <v>4089.2282399637315</v>
      </c>
      <c r="E21" s="105"/>
      <c r="F21" s="3"/>
      <c r="G21" s="3"/>
      <c r="H21" s="3"/>
      <c r="I21" s="3"/>
      <c r="J21" s="3"/>
    </row>
    <row r="22" spans="1:10" ht="15.75" customHeight="1" x14ac:dyDescent="0.2">
      <c r="A22" s="3"/>
      <c r="B22" s="126"/>
      <c r="C22" s="53" t="s">
        <v>201</v>
      </c>
      <c r="D22" s="232">
        <f>D21</f>
        <v>4089.2282399637315</v>
      </c>
      <c r="E22" s="105"/>
      <c r="F22" s="3"/>
      <c r="G22" s="3"/>
      <c r="H22" s="3"/>
      <c r="I22" s="3"/>
      <c r="J22" s="3"/>
    </row>
    <row r="23" spans="1:10" ht="15.75" customHeight="1" x14ac:dyDescent="0.2">
      <c r="A23" s="3"/>
      <c r="B23" s="126"/>
      <c r="C23" s="53" t="s">
        <v>202</v>
      </c>
      <c r="D23" s="233"/>
      <c r="E23" s="105"/>
      <c r="F23" s="3"/>
      <c r="G23" s="3"/>
      <c r="H23" s="3"/>
      <c r="I23" s="3"/>
      <c r="J23" s="3"/>
    </row>
    <row r="24" spans="1:10" ht="15.75" customHeight="1" x14ac:dyDescent="0.2">
      <c r="A24" s="3"/>
      <c r="B24" s="126"/>
      <c r="C24" s="53" t="s">
        <v>203</v>
      </c>
      <c r="D24" s="233"/>
      <c r="E24" s="105"/>
      <c r="F24" s="3"/>
      <c r="G24" s="3"/>
      <c r="H24" s="3"/>
      <c r="I24" s="3"/>
      <c r="J24" s="3"/>
    </row>
    <row r="25" spans="1:10" ht="15.75" customHeight="1" x14ac:dyDescent="0.25">
      <c r="A25" s="3"/>
      <c r="B25" s="126"/>
      <c r="C25" s="53"/>
      <c r="D25" s="134"/>
      <c r="E25" s="105"/>
      <c r="F25" s="3"/>
      <c r="G25" s="3"/>
      <c r="H25" s="3"/>
      <c r="I25" s="3"/>
      <c r="J25" s="3"/>
    </row>
    <row r="26" spans="1:10" ht="15.75" customHeight="1" x14ac:dyDescent="0.25">
      <c r="A26" s="3"/>
      <c r="B26" s="126" t="s">
        <v>50</v>
      </c>
      <c r="C26" s="53" t="s">
        <v>204</v>
      </c>
      <c r="D26" s="134"/>
      <c r="E26" s="105"/>
      <c r="F26" s="3"/>
      <c r="G26" s="3"/>
      <c r="H26" s="3"/>
      <c r="I26" s="3"/>
      <c r="J26" s="3"/>
    </row>
    <row r="27" spans="1:10" ht="15.75" customHeight="1" x14ac:dyDescent="0.25">
      <c r="A27" s="3"/>
      <c r="B27" s="126"/>
      <c r="C27" s="53" t="s">
        <v>205</v>
      </c>
      <c r="D27" s="134"/>
      <c r="E27" s="105"/>
      <c r="F27" s="3"/>
      <c r="G27" s="3"/>
      <c r="H27" s="3"/>
      <c r="I27" s="3"/>
      <c r="J27" s="3"/>
    </row>
    <row r="28" spans="1:10" ht="15.75" customHeight="1" x14ac:dyDescent="0.25">
      <c r="A28" s="3"/>
      <c r="B28" s="126"/>
      <c r="C28" s="53" t="s">
        <v>206</v>
      </c>
      <c r="D28" s="225"/>
      <c r="E28" s="105"/>
      <c r="F28" s="3"/>
      <c r="G28" s="3"/>
      <c r="H28" s="3"/>
      <c r="I28" s="3"/>
      <c r="J28" s="3"/>
    </row>
    <row r="29" spans="1:10" ht="15.75" customHeight="1" x14ac:dyDescent="0.25">
      <c r="A29" s="3"/>
      <c r="B29" s="102"/>
      <c r="C29" s="53" t="s">
        <v>207</v>
      </c>
      <c r="D29" s="225"/>
      <c r="E29" s="105"/>
      <c r="F29" s="3"/>
      <c r="G29" s="3"/>
      <c r="H29" s="3"/>
      <c r="I29" s="3"/>
      <c r="J29" s="3"/>
    </row>
    <row r="30" spans="1:10" ht="15.75" customHeight="1" thickBot="1" x14ac:dyDescent="0.25">
      <c r="A30" s="3"/>
      <c r="B30" s="106"/>
      <c r="C30" s="107"/>
      <c r="D30" s="227"/>
      <c r="E30" s="108"/>
      <c r="F30" s="3"/>
      <c r="G30" s="3"/>
      <c r="H30" s="3"/>
      <c r="I30" s="3"/>
      <c r="J30" s="3"/>
    </row>
    <row r="31" spans="1:10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.75" customHeight="1" x14ac:dyDescent="0.2"/>
    <row r="165" spans="1:10" ht="15.75" customHeight="1" x14ac:dyDescent="0.2"/>
    <row r="166" spans="1:10" ht="15.75" customHeight="1" x14ac:dyDescent="0.2"/>
    <row r="167" spans="1:10" ht="15.75" customHeight="1" x14ac:dyDescent="0.2"/>
    <row r="168" spans="1:10" ht="15.75" customHeight="1" x14ac:dyDescent="0.2"/>
    <row r="169" spans="1:10" ht="15.75" customHeight="1" x14ac:dyDescent="0.2"/>
    <row r="170" spans="1:10" ht="15.75" customHeight="1" x14ac:dyDescent="0.2"/>
    <row r="171" spans="1:10" ht="15.75" customHeight="1" x14ac:dyDescent="0.2"/>
    <row r="172" spans="1:10" ht="15.75" customHeight="1" x14ac:dyDescent="0.2"/>
    <row r="173" spans="1:10" ht="15.75" customHeight="1" x14ac:dyDescent="0.2"/>
    <row r="174" spans="1:10" ht="15.75" customHeight="1" x14ac:dyDescent="0.2"/>
    <row r="175" spans="1:10" ht="15.75" customHeight="1" x14ac:dyDescent="0.2"/>
    <row r="176" spans="1:10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</sheetData>
  <phoneticPr fontId="32" type="noConversion"/>
  <pageMargins left="0.75" right="0.75" top="1" bottom="1" header="0.5" footer="0.5"/>
  <pageSetup orientation="portrait" horizontalDpi="360" verticalDpi="360" copies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3.42578125" customWidth="1"/>
    <col min="4" max="4" width="18.140625" customWidth="1"/>
    <col min="5" max="5" width="3.140625" customWidth="1"/>
  </cols>
  <sheetData>
    <row r="1" spans="1:10" ht="18" x14ac:dyDescent="0.25">
      <c r="A1" s="3"/>
      <c r="B1" s="3"/>
      <c r="C1" s="1" t="s">
        <v>332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229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162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91"/>
      <c r="C6" s="93"/>
      <c r="D6" s="216"/>
      <c r="E6" s="94"/>
      <c r="F6" s="3"/>
      <c r="G6" s="3"/>
      <c r="H6" s="3"/>
      <c r="I6" s="3"/>
      <c r="J6" s="3"/>
    </row>
    <row r="7" spans="1:10" ht="15.75" customHeight="1" x14ac:dyDescent="0.2">
      <c r="A7" s="3"/>
      <c r="B7" s="95"/>
      <c r="C7" s="96" t="s">
        <v>208</v>
      </c>
      <c r="D7" s="217">
        <v>9100</v>
      </c>
      <c r="E7" s="97"/>
      <c r="F7" s="3"/>
      <c r="G7" s="3"/>
      <c r="H7" s="3"/>
      <c r="I7" s="3"/>
      <c r="J7" s="3"/>
    </row>
    <row r="8" spans="1:10" ht="15.75" customHeight="1" x14ac:dyDescent="0.2">
      <c r="A8" s="3"/>
      <c r="B8" s="95"/>
      <c r="C8" s="96" t="s">
        <v>209</v>
      </c>
      <c r="D8" s="217">
        <v>3700</v>
      </c>
      <c r="E8" s="97"/>
      <c r="F8" s="3"/>
      <c r="G8" s="3"/>
      <c r="H8" s="3"/>
      <c r="I8" s="3"/>
      <c r="J8" s="3"/>
    </row>
    <row r="9" spans="1:10" ht="15.75" customHeight="1" x14ac:dyDescent="0.2">
      <c r="A9" s="3"/>
      <c r="B9" s="95"/>
      <c r="C9" s="96" t="s">
        <v>196</v>
      </c>
      <c r="D9" s="203">
        <f>'#17'!D8</f>
        <v>43</v>
      </c>
      <c r="E9" s="97"/>
      <c r="F9" s="3"/>
      <c r="G9" s="3"/>
      <c r="H9" s="3"/>
      <c r="I9" s="3"/>
      <c r="J9" s="3"/>
    </row>
    <row r="10" spans="1:10" ht="15.75" customHeight="1" x14ac:dyDescent="0.2">
      <c r="A10" s="3"/>
      <c r="B10" s="95"/>
      <c r="C10" s="96" t="s">
        <v>210</v>
      </c>
      <c r="D10" s="300">
        <f>D9*D7</f>
        <v>391300</v>
      </c>
      <c r="E10" s="97"/>
      <c r="F10" s="3"/>
      <c r="G10" s="3"/>
      <c r="H10" s="3"/>
      <c r="I10" s="3"/>
      <c r="J10" s="3"/>
    </row>
    <row r="11" spans="1:10" ht="15.75" customHeight="1" x14ac:dyDescent="0.2">
      <c r="A11" s="3"/>
      <c r="B11" s="95"/>
      <c r="C11" s="96" t="s">
        <v>211</v>
      </c>
      <c r="D11" s="203">
        <f>'#17'!D9</f>
        <v>279500</v>
      </c>
      <c r="E11" s="97"/>
      <c r="F11" s="3"/>
      <c r="G11" s="3"/>
      <c r="H11" s="3"/>
      <c r="I11" s="3"/>
      <c r="J11" s="3"/>
    </row>
    <row r="12" spans="1:10" ht="15.75" customHeight="1" x14ac:dyDescent="0.2">
      <c r="A12" s="3"/>
      <c r="B12" s="95"/>
      <c r="C12" s="96" t="s">
        <v>22</v>
      </c>
      <c r="D12" s="203">
        <f>'#17'!D10</f>
        <v>980000</v>
      </c>
      <c r="E12" s="97"/>
      <c r="F12" s="3"/>
      <c r="G12" s="3"/>
      <c r="H12" s="3"/>
      <c r="I12" s="3"/>
      <c r="J12" s="3"/>
    </row>
    <row r="13" spans="1:10" ht="15.75" customHeight="1" x14ac:dyDescent="0.2">
      <c r="A13" s="3"/>
      <c r="B13" s="95"/>
      <c r="C13" s="96" t="s">
        <v>198</v>
      </c>
      <c r="D13" s="234">
        <f>'#17'!D11</f>
        <v>10</v>
      </c>
      <c r="E13" s="97"/>
      <c r="F13" s="3"/>
      <c r="G13" s="3"/>
      <c r="H13" s="3"/>
      <c r="I13" s="3"/>
      <c r="J13" s="3"/>
    </row>
    <row r="14" spans="1:10" ht="15.75" customHeight="1" x14ac:dyDescent="0.2">
      <c r="A14" s="3"/>
      <c r="B14" s="95"/>
      <c r="C14" s="96" t="s">
        <v>177</v>
      </c>
      <c r="D14" s="204">
        <f>'#17'!D12</f>
        <v>0.16</v>
      </c>
      <c r="E14" s="97"/>
      <c r="F14" s="3"/>
      <c r="G14" s="3"/>
      <c r="H14" s="3"/>
      <c r="I14" s="3"/>
      <c r="J14" s="3"/>
    </row>
    <row r="15" spans="1:10" ht="15.75" customHeight="1" x14ac:dyDescent="0.2">
      <c r="A15" s="3"/>
      <c r="B15" s="95"/>
      <c r="C15" s="96" t="s">
        <v>199</v>
      </c>
      <c r="D15" s="203">
        <f>'#17'!D13</f>
        <v>810000</v>
      </c>
      <c r="E15" s="97"/>
      <c r="F15" s="3"/>
      <c r="G15" s="3"/>
      <c r="H15" s="3"/>
      <c r="I15" s="3"/>
      <c r="J15" s="3"/>
    </row>
    <row r="16" spans="1:10" ht="15.75" customHeight="1" thickBot="1" x14ac:dyDescent="0.25">
      <c r="A16" s="3"/>
      <c r="B16" s="98"/>
      <c r="C16" s="99"/>
      <c r="D16" s="218"/>
      <c r="E16" s="40"/>
      <c r="F16" s="3"/>
      <c r="G16" s="3"/>
      <c r="H16" s="3"/>
      <c r="I16" s="3"/>
      <c r="J16" s="3"/>
    </row>
    <row r="17" spans="1:10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customHeight="1" x14ac:dyDescent="0.2">
      <c r="A18" s="3"/>
      <c r="B18" s="3"/>
      <c r="C18" s="2" t="s">
        <v>167</v>
      </c>
      <c r="D18" s="3"/>
      <c r="E18" s="3"/>
      <c r="F18" s="3"/>
      <c r="G18" s="3"/>
      <c r="H18" s="3"/>
      <c r="I18" s="3"/>
      <c r="J18" s="3"/>
    </row>
    <row r="19" spans="1:10" ht="15.75" customHeight="1" thickBo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5.75" customHeight="1" x14ac:dyDescent="0.2">
      <c r="A20" s="3"/>
      <c r="B20" s="100"/>
      <c r="C20" s="101"/>
      <c r="D20" s="219"/>
      <c r="E20" s="58"/>
      <c r="F20" s="3"/>
      <c r="G20" s="3"/>
      <c r="H20" s="3"/>
      <c r="I20" s="3"/>
      <c r="J20" s="3"/>
    </row>
    <row r="21" spans="1:10" ht="15.75" customHeight="1" x14ac:dyDescent="0.25">
      <c r="A21" s="3"/>
      <c r="B21" s="126" t="s">
        <v>48</v>
      </c>
      <c r="C21" s="235" t="s">
        <v>212</v>
      </c>
      <c r="D21" s="134"/>
      <c r="E21" s="105"/>
      <c r="F21" s="3"/>
      <c r="G21" s="3"/>
      <c r="H21" s="3"/>
      <c r="I21" s="3"/>
      <c r="J21" s="3"/>
    </row>
    <row r="22" spans="1:10" ht="15.75" customHeight="1" x14ac:dyDescent="0.2">
      <c r="A22" s="3"/>
      <c r="B22" s="126"/>
      <c r="C22" s="53" t="s">
        <v>213</v>
      </c>
      <c r="D22" s="223">
        <f>PV(D14,D13-1,-D7*D9,0,0)</f>
        <v>1802540.6182916742</v>
      </c>
      <c r="E22" s="105"/>
      <c r="F22" s="3"/>
      <c r="G22" s="3"/>
      <c r="H22" s="3"/>
      <c r="I22" s="3"/>
      <c r="J22" s="3"/>
    </row>
    <row r="23" spans="1:10" ht="15.75" customHeight="1" x14ac:dyDescent="0.25">
      <c r="A23" s="3"/>
      <c r="B23" s="126"/>
      <c r="C23" s="53"/>
      <c r="D23" s="224"/>
      <c r="E23" s="105"/>
      <c r="F23" s="3"/>
      <c r="G23" s="3"/>
      <c r="H23" s="3"/>
      <c r="I23" s="3"/>
      <c r="J23" s="3"/>
    </row>
    <row r="24" spans="1:10" ht="15.75" customHeight="1" x14ac:dyDescent="0.25">
      <c r="A24" s="3"/>
      <c r="B24" s="126" t="s">
        <v>49</v>
      </c>
      <c r="C24" s="235" t="s">
        <v>214</v>
      </c>
      <c r="D24" s="69"/>
      <c r="E24" s="105"/>
      <c r="F24" s="3"/>
      <c r="G24" s="3"/>
      <c r="H24" s="3"/>
      <c r="I24" s="3"/>
      <c r="J24" s="3"/>
    </row>
    <row r="25" spans="1:10" ht="15.75" customHeight="1" x14ac:dyDescent="0.25">
      <c r="A25" s="3"/>
      <c r="B25" s="126"/>
      <c r="C25" s="235" t="s">
        <v>215</v>
      </c>
      <c r="D25" s="69"/>
      <c r="E25" s="105"/>
      <c r="F25" s="3"/>
      <c r="G25" s="3"/>
      <c r="H25" s="3"/>
      <c r="I25" s="3"/>
      <c r="J25" s="3"/>
    </row>
    <row r="26" spans="1:10" ht="15.75" customHeight="1" x14ac:dyDescent="0.2">
      <c r="A26" s="3"/>
      <c r="B26" s="102"/>
      <c r="C26" s="53" t="s">
        <v>233</v>
      </c>
      <c r="D26" s="62">
        <f>'#17'!D21</f>
        <v>4089.2282399637315</v>
      </c>
      <c r="E26" s="105"/>
      <c r="F26" s="3"/>
      <c r="G26" s="3"/>
      <c r="H26" s="3"/>
      <c r="I26" s="3"/>
      <c r="J26" s="3"/>
    </row>
    <row r="27" spans="1:10" ht="15.75" customHeight="1" x14ac:dyDescent="0.2">
      <c r="A27" s="3"/>
      <c r="B27" s="102"/>
      <c r="C27" s="53" t="s">
        <v>216</v>
      </c>
      <c r="D27" s="160">
        <f>D15</f>
        <v>810000</v>
      </c>
      <c r="E27" s="105"/>
      <c r="F27" s="3"/>
      <c r="G27" s="3"/>
      <c r="H27" s="3"/>
      <c r="I27" s="3"/>
      <c r="J27" s="3"/>
    </row>
    <row r="28" spans="1:10" ht="15.75" customHeight="1" x14ac:dyDescent="0.2">
      <c r="A28" s="3"/>
      <c r="B28" s="102"/>
      <c r="C28" s="53" t="s">
        <v>217</v>
      </c>
      <c r="D28" s="137">
        <f>((D22+D15)/2)+D11</f>
        <v>1585770.3091458371</v>
      </c>
      <c r="E28" s="105"/>
      <c r="F28" s="3"/>
      <c r="G28" s="3"/>
      <c r="H28" s="3"/>
      <c r="I28" s="3"/>
      <c r="J28" s="3"/>
    </row>
    <row r="29" spans="1:10" ht="15.75" customHeight="1" x14ac:dyDescent="0.25">
      <c r="A29" s="3"/>
      <c r="B29" s="102"/>
      <c r="C29" s="53" t="s">
        <v>18</v>
      </c>
      <c r="D29" s="127">
        <f>-D12+(D28/(1+D14))</f>
        <v>387043.36995330802</v>
      </c>
      <c r="E29" s="105"/>
      <c r="F29" s="3"/>
      <c r="G29" s="3"/>
      <c r="H29" s="3"/>
      <c r="I29" s="3"/>
      <c r="J29" s="3"/>
    </row>
    <row r="30" spans="1:10" ht="15.75" customHeight="1" x14ac:dyDescent="0.25">
      <c r="A30" s="3"/>
      <c r="B30" s="102"/>
      <c r="C30" s="53"/>
      <c r="D30" s="134"/>
      <c r="E30" s="105"/>
      <c r="F30" s="3"/>
      <c r="G30" s="3"/>
      <c r="H30" s="3"/>
      <c r="I30" s="3"/>
      <c r="J30" s="3"/>
    </row>
    <row r="31" spans="1:10" ht="15.75" customHeight="1" x14ac:dyDescent="0.2">
      <c r="A31" s="3"/>
      <c r="B31" s="102"/>
      <c r="C31" s="53" t="s">
        <v>218</v>
      </c>
      <c r="D31" s="209">
        <f>PV(D14,D13-1,-D8*D9,0,0)</f>
        <v>732901.13051419717</v>
      </c>
      <c r="E31" s="105"/>
      <c r="F31" s="3"/>
      <c r="G31" s="3"/>
      <c r="H31" s="3"/>
      <c r="I31" s="3"/>
      <c r="J31" s="3"/>
    </row>
    <row r="32" spans="1:10" ht="15.75" customHeight="1" x14ac:dyDescent="0.2">
      <c r="A32" s="3"/>
      <c r="B32" s="102"/>
      <c r="C32" s="53" t="s">
        <v>219</v>
      </c>
      <c r="D32" s="137">
        <f>D15-D31</f>
        <v>77098.869485802832</v>
      </c>
      <c r="E32" s="105"/>
      <c r="F32" s="3"/>
      <c r="G32" s="3"/>
      <c r="H32" s="3"/>
      <c r="I32" s="3"/>
      <c r="J32" s="3"/>
    </row>
    <row r="33" spans="1:10" ht="15.75" customHeight="1" x14ac:dyDescent="0.2">
      <c r="A33" s="3"/>
      <c r="B33" s="102"/>
      <c r="C33" s="53" t="s">
        <v>220</v>
      </c>
      <c r="D33" s="159"/>
      <c r="E33" s="105"/>
      <c r="F33" s="3"/>
      <c r="G33" s="3"/>
      <c r="H33" s="3"/>
      <c r="I33" s="3"/>
      <c r="J33" s="3"/>
    </row>
    <row r="34" spans="1:10" ht="15.75" customHeight="1" x14ac:dyDescent="0.25">
      <c r="A34" s="3"/>
      <c r="B34" s="102"/>
      <c r="C34" s="53" t="s">
        <v>221</v>
      </c>
      <c r="D34" s="127">
        <f>0.5*D32/(1+D14)</f>
        <v>33232.271330087431</v>
      </c>
      <c r="E34" s="105"/>
      <c r="F34" s="3"/>
      <c r="G34" s="3"/>
      <c r="H34" s="3"/>
      <c r="I34" s="3"/>
      <c r="J34" s="3"/>
    </row>
    <row r="35" spans="1:10" ht="15.75" customHeight="1" thickBot="1" x14ac:dyDescent="0.25">
      <c r="A35" s="3"/>
      <c r="B35" s="106"/>
      <c r="C35" s="107"/>
      <c r="D35" s="227"/>
      <c r="E35" s="108"/>
      <c r="F35" s="3"/>
      <c r="G35" s="3"/>
      <c r="H35" s="3"/>
      <c r="I35" s="3"/>
      <c r="J35" s="3"/>
    </row>
    <row r="36" spans="1:1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</sheetData>
  <phoneticPr fontId="32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4" width="18.85546875" customWidth="1"/>
    <col min="5" max="5" width="3.140625" customWidth="1"/>
    <col min="8" max="8" width="9.140625" customWidth="1"/>
  </cols>
  <sheetData>
    <row r="1" spans="2:5" ht="18" customHeight="1" x14ac:dyDescent="0.25">
      <c r="C1" s="1" t="s">
        <v>332</v>
      </c>
    </row>
    <row r="2" spans="2:5" ht="15.75" customHeight="1" x14ac:dyDescent="0.2">
      <c r="C2" s="3" t="s">
        <v>0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4"/>
      <c r="C6" s="5"/>
      <c r="D6" s="5"/>
      <c r="E6" s="6"/>
    </row>
    <row r="7" spans="2:5" ht="15.75" customHeight="1" x14ac:dyDescent="0.2">
      <c r="B7" s="7"/>
      <c r="C7" s="12" t="s">
        <v>61</v>
      </c>
      <c r="D7" s="65">
        <v>604000</v>
      </c>
      <c r="E7" s="8"/>
    </row>
    <row r="8" spans="2:5" ht="15.75" customHeight="1" x14ac:dyDescent="0.2">
      <c r="B8" s="7"/>
      <c r="C8" s="12" t="s">
        <v>62</v>
      </c>
      <c r="D8" s="73">
        <v>8</v>
      </c>
      <c r="E8" s="8"/>
    </row>
    <row r="9" spans="2:5" ht="15.75" customHeight="1" x14ac:dyDescent="0.2">
      <c r="B9" s="7"/>
      <c r="C9" s="12" t="s">
        <v>63</v>
      </c>
      <c r="D9" s="73">
        <v>55000</v>
      </c>
      <c r="E9" s="8"/>
    </row>
    <row r="10" spans="2:5" ht="15.75" customHeight="1" x14ac:dyDescent="0.2">
      <c r="B10" s="7"/>
      <c r="C10" s="12" t="s">
        <v>53</v>
      </c>
      <c r="D10" s="136">
        <v>36</v>
      </c>
      <c r="E10" s="8"/>
    </row>
    <row r="11" spans="2:5" ht="15.75" customHeight="1" x14ac:dyDescent="0.2">
      <c r="B11" s="7"/>
      <c r="C11" s="12" t="s">
        <v>54</v>
      </c>
      <c r="D11" s="136">
        <v>17</v>
      </c>
      <c r="E11" s="8"/>
    </row>
    <row r="12" spans="2:5" ht="15.75" customHeight="1" x14ac:dyDescent="0.2">
      <c r="B12" s="7"/>
      <c r="C12" s="12" t="s">
        <v>37</v>
      </c>
      <c r="D12" s="65">
        <v>685000</v>
      </c>
      <c r="E12" s="8"/>
    </row>
    <row r="13" spans="2:5" ht="15.75" customHeight="1" x14ac:dyDescent="0.2">
      <c r="B13" s="7"/>
      <c r="C13" s="12" t="s">
        <v>7</v>
      </c>
      <c r="D13" s="64">
        <v>0.21</v>
      </c>
      <c r="E13" s="8"/>
    </row>
    <row r="14" spans="2:5" ht="15.75" customHeight="1" x14ac:dyDescent="0.2">
      <c r="B14" s="7"/>
      <c r="C14" s="12" t="s">
        <v>17</v>
      </c>
      <c r="D14" s="64">
        <v>0.15</v>
      </c>
      <c r="E14" s="8"/>
    </row>
    <row r="15" spans="2:5" ht="15.75" customHeight="1" x14ac:dyDescent="0.2">
      <c r="B15" s="124" t="s">
        <v>49</v>
      </c>
      <c r="C15" s="12" t="s">
        <v>66</v>
      </c>
      <c r="D15" s="73">
        <v>56000</v>
      </c>
      <c r="E15" s="8"/>
    </row>
    <row r="16" spans="2:5" ht="15.75" customHeight="1" x14ac:dyDescent="0.2">
      <c r="B16" s="7"/>
      <c r="C16" s="12" t="s">
        <v>75</v>
      </c>
      <c r="D16" s="73">
        <v>-500</v>
      </c>
      <c r="E16" s="8"/>
    </row>
    <row r="17" spans="2:8" ht="15.75" customHeight="1" x14ac:dyDescent="0.2">
      <c r="B17" s="124" t="s">
        <v>50</v>
      </c>
      <c r="C17" s="12" t="s">
        <v>67</v>
      </c>
      <c r="D17" s="136">
        <v>18</v>
      </c>
      <c r="E17" s="8"/>
    </row>
    <row r="18" spans="2:8" ht="15.75" customHeight="1" x14ac:dyDescent="0.2">
      <c r="B18" s="124"/>
      <c r="C18" s="12" t="s">
        <v>76</v>
      </c>
      <c r="D18" s="136">
        <v>-1</v>
      </c>
      <c r="E18" s="8"/>
    </row>
    <row r="19" spans="2:8" ht="15.75" customHeight="1" thickBot="1" x14ac:dyDescent="0.25">
      <c r="B19" s="9"/>
      <c r="C19" s="10"/>
      <c r="D19" s="10"/>
      <c r="E19" s="11"/>
    </row>
    <row r="20" spans="2:8" ht="15.75" customHeight="1" x14ac:dyDescent="0.2"/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54"/>
      <c r="C23" s="15"/>
      <c r="D23" s="15"/>
      <c r="E23" s="16"/>
      <c r="F23" s="28"/>
      <c r="G23" s="28"/>
      <c r="H23" s="28"/>
    </row>
    <row r="24" spans="2:8" ht="15.75" customHeight="1" x14ac:dyDescent="0.2">
      <c r="B24" s="123" t="s">
        <v>48</v>
      </c>
      <c r="C24" s="18" t="s">
        <v>65</v>
      </c>
      <c r="D24" s="61">
        <f>D7/D8</f>
        <v>75500</v>
      </c>
      <c r="E24" s="20"/>
      <c r="F24" s="28"/>
      <c r="G24" s="28"/>
      <c r="H24" s="28"/>
    </row>
    <row r="25" spans="2:8" ht="15.75" customHeight="1" x14ac:dyDescent="0.25">
      <c r="B25" s="123"/>
      <c r="C25" s="18" t="s">
        <v>360</v>
      </c>
      <c r="D25" s="292">
        <f>(D12+D24)/(D10-D11)</f>
        <v>40026.315789473687</v>
      </c>
      <c r="E25" s="21"/>
      <c r="F25" s="28"/>
      <c r="G25" s="28"/>
      <c r="H25" s="29"/>
    </row>
    <row r="26" spans="2:8" ht="15.75" customHeight="1" x14ac:dyDescent="0.2">
      <c r="B26" s="123"/>
      <c r="C26" s="18"/>
      <c r="D26" s="62"/>
      <c r="E26" s="20"/>
      <c r="F26" s="28"/>
      <c r="G26" s="28"/>
      <c r="H26" s="28"/>
    </row>
    <row r="27" spans="2:8" ht="15.75" customHeight="1" x14ac:dyDescent="0.25">
      <c r="B27" s="123" t="s">
        <v>49</v>
      </c>
      <c r="C27" s="18" t="s">
        <v>68</v>
      </c>
      <c r="D27" s="63">
        <f>((($D$10-$D$11)*$D$9-$D$12)*(1-$D$13))+($D$13*$D$24)</f>
        <v>300255</v>
      </c>
      <c r="E27" s="20"/>
      <c r="F27" s="28"/>
      <c r="G27" s="28"/>
      <c r="H27" s="28"/>
    </row>
    <row r="28" spans="2:8" ht="15.75" customHeight="1" x14ac:dyDescent="0.25">
      <c r="B28" s="123"/>
      <c r="C28" s="18" t="s">
        <v>69</v>
      </c>
      <c r="D28" s="127">
        <f>-D7+PV(D14,D8,-D27,0,0)</f>
        <v>743340.71929212636</v>
      </c>
      <c r="E28" s="20"/>
      <c r="F28" s="28"/>
      <c r="G28" s="28"/>
      <c r="H28" s="28"/>
    </row>
    <row r="29" spans="2:8" ht="15.75" customHeight="1" x14ac:dyDescent="0.2">
      <c r="B29" s="123"/>
      <c r="C29" s="22" t="s">
        <v>70</v>
      </c>
      <c r="D29" s="138">
        <f>D15</f>
        <v>56000</v>
      </c>
      <c r="E29" s="30"/>
      <c r="F29" s="28"/>
      <c r="G29" s="28"/>
      <c r="H29" s="28"/>
    </row>
    <row r="30" spans="2:8" ht="15.75" customHeight="1" x14ac:dyDescent="0.2">
      <c r="B30" s="123"/>
      <c r="C30" s="22" t="s">
        <v>9</v>
      </c>
      <c r="D30" s="61">
        <f>((($D$10-$D$11)*$D$15-$D$12)*(1-$D$13))+($D$13*$D$24)</f>
        <v>315265</v>
      </c>
      <c r="E30" s="30"/>
      <c r="F30" s="28"/>
      <c r="G30" s="28"/>
      <c r="H30" s="28"/>
    </row>
    <row r="31" spans="2:8" ht="15.75" customHeight="1" x14ac:dyDescent="0.2">
      <c r="B31" s="123"/>
      <c r="C31" s="22" t="s">
        <v>18</v>
      </c>
      <c r="D31" s="140">
        <f>-D7+PV(D14,D8,-D30,0,0)</f>
        <v>810695.41512258654</v>
      </c>
      <c r="E31" s="30"/>
      <c r="F31" s="28"/>
      <c r="G31" s="28"/>
      <c r="H31" s="28"/>
    </row>
    <row r="32" spans="2:8" ht="15.75" customHeight="1" x14ac:dyDescent="0.25">
      <c r="B32" s="123"/>
      <c r="C32" s="141" t="s">
        <v>71</v>
      </c>
      <c r="D32" s="142">
        <f>(D28-D31)/(D9-D15)</f>
        <v>67.354695830460173</v>
      </c>
      <c r="E32" s="30"/>
      <c r="F32" s="28"/>
      <c r="G32" s="28"/>
      <c r="H32" s="28"/>
    </row>
    <row r="33" spans="2:8" ht="15.75" customHeight="1" x14ac:dyDescent="0.2">
      <c r="B33" s="123"/>
      <c r="C33" s="22" t="s">
        <v>72</v>
      </c>
      <c r="D33" s="138">
        <f>D16</f>
        <v>-500</v>
      </c>
      <c r="E33" s="30"/>
      <c r="F33" s="28"/>
      <c r="G33" s="28"/>
      <c r="H33" s="28"/>
    </row>
    <row r="34" spans="2:8" ht="15.75" customHeight="1" x14ac:dyDescent="0.25">
      <c r="B34" s="123"/>
      <c r="C34" s="22" t="s">
        <v>73</v>
      </c>
      <c r="D34" s="114">
        <f>D33*D32</f>
        <v>-33677.347915230086</v>
      </c>
      <c r="E34" s="30"/>
      <c r="F34" s="28"/>
      <c r="G34" s="28"/>
      <c r="H34" s="28"/>
    </row>
    <row r="35" spans="2:8" ht="15.75" customHeight="1" x14ac:dyDescent="0.2">
      <c r="B35" s="123"/>
      <c r="C35" s="22"/>
      <c r="D35" s="140"/>
      <c r="E35" s="30"/>
      <c r="F35" s="28"/>
      <c r="G35" s="28"/>
      <c r="H35" s="28"/>
    </row>
    <row r="36" spans="2:8" ht="15.75" customHeight="1" x14ac:dyDescent="0.2">
      <c r="B36" s="123" t="s">
        <v>50</v>
      </c>
      <c r="C36" s="22" t="s">
        <v>74</v>
      </c>
      <c r="D36" s="143">
        <f>D17</f>
        <v>18</v>
      </c>
      <c r="E36" s="30"/>
      <c r="F36" s="28"/>
      <c r="G36" s="28"/>
      <c r="H36" s="28"/>
    </row>
    <row r="37" spans="2:8" ht="15.75" customHeight="1" x14ac:dyDescent="0.2">
      <c r="B37" s="123"/>
      <c r="C37" s="22" t="s">
        <v>9</v>
      </c>
      <c r="D37" s="61">
        <f>((($D$10-$D$17)*$D$9-$D$12)*(1-$D$13))+($D$13*$D$24)</f>
        <v>256805</v>
      </c>
      <c r="E37" s="30"/>
      <c r="F37" s="28"/>
      <c r="G37" s="28"/>
      <c r="H37" s="28"/>
    </row>
    <row r="38" spans="2:8" ht="15.75" customHeight="1" x14ac:dyDescent="0.25">
      <c r="B38" s="123"/>
      <c r="C38" s="141" t="s">
        <v>77</v>
      </c>
      <c r="D38" s="144">
        <f>(D27-D37)/(D11-D17)</f>
        <v>-43450</v>
      </c>
      <c r="E38" s="30"/>
      <c r="F38" s="28"/>
      <c r="G38" s="28"/>
      <c r="H38" s="28"/>
    </row>
    <row r="39" spans="2:8" ht="15.75" customHeight="1" x14ac:dyDescent="0.2">
      <c r="B39" s="123"/>
      <c r="C39" s="22" t="s">
        <v>78</v>
      </c>
      <c r="D39" s="143">
        <f>D18</f>
        <v>-1</v>
      </c>
      <c r="E39" s="30"/>
      <c r="F39" s="28"/>
      <c r="G39" s="28"/>
      <c r="H39" s="28"/>
    </row>
    <row r="40" spans="2:8" ht="15.75" customHeight="1" x14ac:dyDescent="0.25">
      <c r="B40" s="123"/>
      <c r="C40" s="22" t="s">
        <v>79</v>
      </c>
      <c r="D40" s="139">
        <f>D39*D38</f>
        <v>43450</v>
      </c>
      <c r="E40" s="30"/>
      <c r="F40" s="28"/>
      <c r="G40" s="28"/>
      <c r="H40" s="28"/>
    </row>
    <row r="41" spans="2:8" ht="15.75" customHeight="1" thickBot="1" x14ac:dyDescent="0.25">
      <c r="B41" s="57"/>
      <c r="C41" s="24"/>
      <c r="D41" s="24"/>
      <c r="E41" s="25"/>
      <c r="F41" s="28"/>
      <c r="G41" s="28"/>
      <c r="H41" s="28"/>
    </row>
    <row r="42" spans="2:8" ht="15.75" customHeight="1" x14ac:dyDescent="0.2">
      <c r="B42" s="13"/>
      <c r="C42" s="13"/>
      <c r="D42" s="13"/>
      <c r="E42" s="13"/>
      <c r="F42" s="13"/>
      <c r="G42" s="13"/>
      <c r="H42" s="13"/>
    </row>
    <row r="43" spans="2:8" ht="15.75" customHeight="1" x14ac:dyDescent="0.2"/>
    <row r="44" spans="2:8" ht="15.75" customHeight="1" x14ac:dyDescent="0.2">
      <c r="D44" s="26"/>
    </row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2.7109375" customWidth="1"/>
    <col min="4" max="4" width="17.85546875" customWidth="1"/>
    <col min="5" max="5" width="3.140625" customWidth="1"/>
  </cols>
  <sheetData>
    <row r="1" spans="1:10" ht="18" x14ac:dyDescent="0.25">
      <c r="A1" s="3"/>
      <c r="B1" s="3"/>
      <c r="C1" s="1" t="s">
        <v>332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26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162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91"/>
      <c r="C6" s="93"/>
      <c r="D6" s="216"/>
      <c r="E6" s="94"/>
      <c r="F6" s="3"/>
      <c r="G6" s="3"/>
      <c r="H6" s="3"/>
      <c r="I6" s="3"/>
      <c r="J6" s="3"/>
    </row>
    <row r="7" spans="1:10" ht="15.75" customHeight="1" x14ac:dyDescent="0.2">
      <c r="A7" s="3"/>
      <c r="B7" s="95"/>
      <c r="C7" s="96" t="s">
        <v>208</v>
      </c>
      <c r="D7" s="234">
        <f>'#18'!D7</f>
        <v>9100</v>
      </c>
      <c r="E7" s="97"/>
      <c r="F7" s="3"/>
      <c r="G7" s="3"/>
      <c r="H7" s="3"/>
      <c r="I7" s="3"/>
      <c r="J7" s="3"/>
    </row>
    <row r="8" spans="1:10" ht="15.75" customHeight="1" x14ac:dyDescent="0.2">
      <c r="A8" s="3"/>
      <c r="B8" s="95"/>
      <c r="C8" s="96" t="s">
        <v>209</v>
      </c>
      <c r="D8" s="234">
        <f>'#18'!D8</f>
        <v>3700</v>
      </c>
      <c r="E8" s="97"/>
      <c r="F8" s="3"/>
      <c r="G8" s="3"/>
      <c r="H8" s="3"/>
      <c r="I8" s="3"/>
      <c r="J8" s="3"/>
    </row>
    <row r="9" spans="1:10" ht="15.75" customHeight="1" x14ac:dyDescent="0.2">
      <c r="A9" s="3"/>
      <c r="B9" s="95"/>
      <c r="C9" s="96" t="s">
        <v>196</v>
      </c>
      <c r="D9" s="203">
        <f>'#18'!D9</f>
        <v>43</v>
      </c>
      <c r="E9" s="97"/>
      <c r="F9" s="3"/>
      <c r="G9" s="3"/>
      <c r="H9" s="3"/>
      <c r="I9" s="3"/>
      <c r="J9" s="3"/>
    </row>
    <row r="10" spans="1:10" ht="15.75" customHeight="1" x14ac:dyDescent="0.2">
      <c r="A10" s="3"/>
      <c r="B10" s="95"/>
      <c r="C10" s="96" t="s">
        <v>197</v>
      </c>
      <c r="D10" s="203">
        <f>'#18'!D10</f>
        <v>391300</v>
      </c>
      <c r="E10" s="97"/>
      <c r="F10" s="3"/>
      <c r="G10" s="3"/>
      <c r="H10" s="3"/>
      <c r="I10" s="3"/>
      <c r="J10" s="3"/>
    </row>
    <row r="11" spans="1:10" ht="15.75" customHeight="1" x14ac:dyDescent="0.2">
      <c r="A11" s="3"/>
      <c r="B11" s="95"/>
      <c r="C11" s="96" t="s">
        <v>211</v>
      </c>
      <c r="D11" s="203">
        <f>'#18'!D11</f>
        <v>279500</v>
      </c>
      <c r="E11" s="97"/>
      <c r="F11" s="3"/>
      <c r="G11" s="3"/>
      <c r="H11" s="3"/>
      <c r="I11" s="3"/>
      <c r="J11" s="3"/>
    </row>
    <row r="12" spans="1:10" ht="15.75" customHeight="1" x14ac:dyDescent="0.2">
      <c r="A12" s="3"/>
      <c r="B12" s="95"/>
      <c r="C12" s="96" t="s">
        <v>22</v>
      </c>
      <c r="D12" s="203">
        <f>'#18'!D12</f>
        <v>980000</v>
      </c>
      <c r="E12" s="97"/>
      <c r="F12" s="3"/>
      <c r="G12" s="3"/>
      <c r="H12" s="3"/>
      <c r="I12" s="3"/>
      <c r="J12" s="3"/>
    </row>
    <row r="13" spans="1:10" ht="15.75" customHeight="1" x14ac:dyDescent="0.2">
      <c r="A13" s="3"/>
      <c r="B13" s="95"/>
      <c r="C13" s="96" t="s">
        <v>198</v>
      </c>
      <c r="D13" s="234">
        <f>'#18'!D13</f>
        <v>10</v>
      </c>
      <c r="E13" s="97"/>
      <c r="F13" s="3"/>
      <c r="G13" s="3"/>
      <c r="H13" s="3"/>
      <c r="I13" s="3"/>
      <c r="J13" s="3"/>
    </row>
    <row r="14" spans="1:10" ht="15.75" customHeight="1" x14ac:dyDescent="0.2">
      <c r="A14" s="3"/>
      <c r="B14" s="95"/>
      <c r="C14" s="96" t="s">
        <v>177</v>
      </c>
      <c r="D14" s="204">
        <f>'#18'!D14</f>
        <v>0.16</v>
      </c>
      <c r="E14" s="97"/>
      <c r="F14" s="3"/>
      <c r="G14" s="3"/>
      <c r="H14" s="3"/>
      <c r="I14" s="3"/>
      <c r="J14" s="3"/>
    </row>
    <row r="15" spans="1:10" ht="15.75" customHeight="1" x14ac:dyDescent="0.2">
      <c r="A15" s="3"/>
      <c r="B15" s="95"/>
      <c r="C15" s="96" t="s">
        <v>199</v>
      </c>
      <c r="D15" s="203">
        <f>'#18'!D15</f>
        <v>810000</v>
      </c>
      <c r="E15" s="97"/>
      <c r="F15" s="3"/>
      <c r="G15" s="3"/>
      <c r="H15" s="3"/>
      <c r="I15" s="3"/>
      <c r="J15" s="3"/>
    </row>
    <row r="16" spans="1:10" ht="15.75" customHeight="1" x14ac:dyDescent="0.2">
      <c r="A16" s="3"/>
      <c r="B16" s="95"/>
      <c r="C16" s="96" t="s">
        <v>223</v>
      </c>
      <c r="D16" s="301">
        <f>D7*2</f>
        <v>18200</v>
      </c>
      <c r="E16" s="97"/>
      <c r="F16" s="3"/>
      <c r="G16" s="3"/>
      <c r="H16" s="3"/>
      <c r="I16" s="3"/>
      <c r="J16" s="3"/>
    </row>
    <row r="17" spans="1:10" ht="15.75" customHeight="1" thickBot="1" x14ac:dyDescent="0.25">
      <c r="A17" s="3"/>
      <c r="B17" s="98"/>
      <c r="C17" s="99"/>
      <c r="D17" s="218"/>
      <c r="E17" s="40"/>
      <c r="F17" s="3"/>
      <c r="G17" s="3"/>
      <c r="H17" s="3"/>
      <c r="I17" s="3"/>
      <c r="J17" s="3"/>
    </row>
    <row r="18" spans="1:10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customHeight="1" x14ac:dyDescent="0.2">
      <c r="A19" s="3"/>
      <c r="B19" s="3"/>
      <c r="C19" s="2" t="s">
        <v>167</v>
      </c>
      <c r="D19" s="3"/>
      <c r="E19" s="3"/>
      <c r="F19" s="3"/>
      <c r="G19" s="3"/>
      <c r="H19" s="3"/>
      <c r="I19" s="3"/>
      <c r="J19" s="3"/>
    </row>
    <row r="20" spans="1:10" ht="15.75" customHeight="1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.75" customHeight="1" x14ac:dyDescent="0.2">
      <c r="A21" s="3"/>
      <c r="B21" s="100"/>
      <c r="C21" s="101"/>
      <c r="D21" s="219"/>
      <c r="E21" s="58"/>
      <c r="F21" s="3"/>
      <c r="G21" s="3"/>
      <c r="H21" s="3"/>
      <c r="I21" s="3"/>
      <c r="J21" s="3"/>
    </row>
    <row r="22" spans="1:10" ht="15.75" customHeight="1" x14ac:dyDescent="0.2">
      <c r="A22" s="3"/>
      <c r="B22" s="102"/>
      <c r="C22" s="53" t="s">
        <v>224</v>
      </c>
      <c r="D22" s="223">
        <f>PV(D14,D13-1,-D16*D9)</f>
        <v>3605081.2365833484</v>
      </c>
      <c r="E22" s="105"/>
      <c r="F22" s="3"/>
      <c r="G22" s="3"/>
      <c r="H22" s="3"/>
      <c r="I22" s="3"/>
      <c r="J22" s="3"/>
    </row>
    <row r="23" spans="1:10" ht="15.75" customHeight="1" x14ac:dyDescent="0.25">
      <c r="A23" s="3"/>
      <c r="B23" s="102"/>
      <c r="C23" s="235" t="s">
        <v>214</v>
      </c>
      <c r="D23" s="69"/>
      <c r="E23" s="105"/>
      <c r="F23" s="3"/>
      <c r="G23" s="3"/>
      <c r="H23" s="3"/>
      <c r="I23" s="3"/>
      <c r="J23" s="3"/>
    </row>
    <row r="24" spans="1:10" ht="15.75" customHeight="1" x14ac:dyDescent="0.25">
      <c r="A24" s="3"/>
      <c r="B24" s="102"/>
      <c r="C24" s="235" t="s">
        <v>215</v>
      </c>
      <c r="D24" s="69"/>
      <c r="E24" s="105"/>
      <c r="F24" s="3"/>
      <c r="G24" s="3"/>
      <c r="H24" s="3"/>
      <c r="I24" s="3"/>
      <c r="J24" s="3"/>
    </row>
    <row r="25" spans="1:10" ht="15.75" customHeight="1" x14ac:dyDescent="0.2">
      <c r="A25" s="3"/>
      <c r="B25" s="102"/>
      <c r="C25" s="53" t="s">
        <v>233</v>
      </c>
      <c r="D25" s="62">
        <f>'#17'!D21</f>
        <v>4089.2282399637315</v>
      </c>
      <c r="E25" s="105"/>
      <c r="F25" s="3"/>
      <c r="G25" s="3"/>
      <c r="H25" s="3"/>
      <c r="I25" s="3"/>
      <c r="J25" s="3"/>
    </row>
    <row r="26" spans="1:10" ht="15.75" customHeight="1" x14ac:dyDescent="0.2">
      <c r="A26" s="3"/>
      <c r="B26" s="102"/>
      <c r="C26" s="53" t="s">
        <v>225</v>
      </c>
      <c r="D26" s="160">
        <f>D15</f>
        <v>810000</v>
      </c>
      <c r="E26" s="105"/>
      <c r="F26" s="3"/>
      <c r="G26" s="3"/>
      <c r="H26" s="3"/>
      <c r="I26" s="3"/>
      <c r="J26" s="3"/>
    </row>
    <row r="27" spans="1:10" ht="15.75" customHeight="1" x14ac:dyDescent="0.2">
      <c r="A27" s="3"/>
      <c r="B27" s="102"/>
      <c r="C27" s="53" t="s">
        <v>217</v>
      </c>
      <c r="D27" s="66">
        <f>((D22+D15)/2)+D11</f>
        <v>2487040.6182916742</v>
      </c>
      <c r="E27" s="105"/>
      <c r="F27" s="3"/>
      <c r="G27" s="3"/>
      <c r="H27" s="3"/>
      <c r="I27" s="3"/>
      <c r="J27" s="3"/>
    </row>
    <row r="28" spans="1:10" ht="15.75" customHeight="1" x14ac:dyDescent="0.25">
      <c r="A28" s="3"/>
      <c r="B28" s="102"/>
      <c r="C28" s="53" t="s">
        <v>18</v>
      </c>
      <c r="D28" s="114">
        <f>-D12+(D27/(1+D14))</f>
        <v>1164000.5330100642</v>
      </c>
      <c r="E28" s="105"/>
      <c r="F28" s="3"/>
      <c r="G28" s="3"/>
      <c r="H28" s="3"/>
      <c r="I28" s="3"/>
      <c r="J28" s="3"/>
    </row>
    <row r="29" spans="1:10" ht="15.75" customHeight="1" x14ac:dyDescent="0.2">
      <c r="A29" s="3"/>
      <c r="B29" s="102"/>
      <c r="C29" s="53" t="s">
        <v>226</v>
      </c>
      <c r="D29" s="209">
        <f>PV(D14,D13-1,-D7*D9)</f>
        <v>1802540.6182916742</v>
      </c>
      <c r="E29" s="105"/>
      <c r="F29" s="3"/>
      <c r="G29" s="3"/>
      <c r="H29" s="3"/>
      <c r="I29" s="3"/>
      <c r="J29" s="3"/>
    </row>
    <row r="30" spans="1:10" ht="15.75" customHeight="1" x14ac:dyDescent="0.2">
      <c r="A30" s="3"/>
      <c r="B30" s="102"/>
      <c r="C30" s="53" t="s">
        <v>227</v>
      </c>
      <c r="D30" s="137">
        <f>0.5*D29</f>
        <v>901270.30914583709</v>
      </c>
      <c r="E30" s="105"/>
      <c r="F30" s="3"/>
      <c r="G30" s="3"/>
      <c r="H30" s="3"/>
      <c r="I30" s="3"/>
      <c r="J30" s="3"/>
    </row>
    <row r="31" spans="1:10" ht="15.75" customHeight="1" x14ac:dyDescent="0.25">
      <c r="A31" s="3"/>
      <c r="B31" s="102"/>
      <c r="C31" s="53" t="s">
        <v>228</v>
      </c>
      <c r="D31" s="127">
        <f>D30/(1+D14)</f>
        <v>776957.16305675614</v>
      </c>
      <c r="E31" s="105"/>
      <c r="F31" s="3"/>
      <c r="G31" s="3"/>
      <c r="H31" s="3"/>
      <c r="I31" s="3"/>
      <c r="J31" s="3"/>
    </row>
    <row r="32" spans="1:10" ht="15.75" customHeight="1" thickBot="1" x14ac:dyDescent="0.25">
      <c r="A32" s="3"/>
      <c r="B32" s="106"/>
      <c r="C32" s="107"/>
      <c r="D32" s="227"/>
      <c r="E32" s="108"/>
      <c r="F32" s="3"/>
      <c r="G32" s="3"/>
      <c r="H32" s="3"/>
      <c r="I32" s="3"/>
      <c r="J32" s="3"/>
    </row>
    <row r="33" spans="1:10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.75" customHeight="1" x14ac:dyDescent="0.2">
      <c r="A35" s="3"/>
      <c r="B35" s="3"/>
      <c r="C35" s="3"/>
      <c r="D35" s="316"/>
      <c r="E35" s="3"/>
      <c r="F35" s="3"/>
      <c r="G35" s="3"/>
      <c r="H35" s="3"/>
      <c r="I35" s="3"/>
      <c r="J35" s="3"/>
    </row>
    <row r="36" spans="1:1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</sheetData>
  <phoneticPr fontId="32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7" ht="16.5" customHeight="1" x14ac:dyDescent="0.25">
      <c r="C1" s="1" t="s">
        <v>332</v>
      </c>
    </row>
    <row r="2" spans="2:7" ht="15.75" customHeight="1" x14ac:dyDescent="0.2">
      <c r="C2" s="3" t="s">
        <v>27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235</v>
      </c>
      <c r="D7" s="109">
        <v>7200</v>
      </c>
      <c r="E7" s="39"/>
      <c r="F7" s="13"/>
    </row>
    <row r="8" spans="2:7" ht="15.75" customHeight="1" x14ac:dyDescent="0.2">
      <c r="B8" s="7"/>
      <c r="C8" s="12" t="s">
        <v>36</v>
      </c>
      <c r="D8" s="236">
        <v>3.2</v>
      </c>
      <c r="E8" s="39"/>
      <c r="F8" s="13"/>
    </row>
    <row r="9" spans="2:7" ht="15.75" customHeight="1" x14ac:dyDescent="0.2">
      <c r="B9" s="7"/>
      <c r="C9" s="12" t="s">
        <v>52</v>
      </c>
      <c r="D9" s="236">
        <v>15</v>
      </c>
      <c r="E9" s="39"/>
      <c r="F9" s="13"/>
    </row>
    <row r="10" spans="2:7" ht="15.75" customHeight="1" x14ac:dyDescent="0.2">
      <c r="B10" s="7"/>
      <c r="C10" s="12" t="s">
        <v>7</v>
      </c>
      <c r="D10" s="121">
        <v>0.21</v>
      </c>
      <c r="E10" s="39"/>
      <c r="F10" s="13"/>
    </row>
    <row r="11" spans="2:7" ht="15.75" customHeight="1" x14ac:dyDescent="0.2">
      <c r="B11" s="7"/>
      <c r="C11" s="241"/>
      <c r="D11" s="241"/>
      <c r="E11" s="39"/>
      <c r="F11" s="13"/>
    </row>
    <row r="12" spans="2:7" ht="15.75" customHeight="1" x14ac:dyDescent="0.2">
      <c r="B12" s="124" t="s">
        <v>49</v>
      </c>
      <c r="C12" s="12" t="s">
        <v>236</v>
      </c>
      <c r="D12" s="125">
        <v>20000</v>
      </c>
      <c r="E12" s="39"/>
      <c r="F12" s="13"/>
    </row>
    <row r="13" spans="2:7" ht="15.75" customHeight="1" x14ac:dyDescent="0.2">
      <c r="B13" s="124"/>
      <c r="C13" s="12" t="s">
        <v>234</v>
      </c>
      <c r="D13" s="110">
        <v>3</v>
      </c>
      <c r="E13" s="39"/>
      <c r="F13" s="13"/>
    </row>
    <row r="14" spans="2:7" ht="15.75" customHeight="1" x14ac:dyDescent="0.2">
      <c r="B14" s="7"/>
      <c r="C14" s="12" t="s">
        <v>6</v>
      </c>
      <c r="D14" s="238">
        <v>0</v>
      </c>
      <c r="E14" s="41"/>
      <c r="F14" s="44"/>
    </row>
    <row r="15" spans="2:7" ht="15.75" customHeight="1" x14ac:dyDescent="0.2">
      <c r="B15" s="7"/>
      <c r="C15" s="12" t="s">
        <v>177</v>
      </c>
      <c r="D15" s="121">
        <v>0.12</v>
      </c>
      <c r="E15" s="74"/>
      <c r="F15" s="45"/>
    </row>
    <row r="16" spans="2:7" ht="15.75" customHeight="1" thickBot="1" x14ac:dyDescent="0.25">
      <c r="B16" s="9"/>
      <c r="C16" s="10"/>
      <c r="D16" s="10"/>
      <c r="E16" s="40"/>
      <c r="F16" s="13"/>
    </row>
    <row r="17" spans="2:8" ht="15.75" customHeight="1" x14ac:dyDescent="0.2"/>
    <row r="18" spans="2:8" ht="15.75" customHeight="1" x14ac:dyDescent="0.2">
      <c r="C18" s="2" t="s">
        <v>2</v>
      </c>
    </row>
    <row r="19" spans="2:8" ht="15.75" customHeight="1" thickBot="1" x14ac:dyDescent="0.25"/>
    <row r="20" spans="2:8" ht="15.75" customHeight="1" x14ac:dyDescent="0.2">
      <c r="B20" s="14"/>
      <c r="C20" s="55"/>
      <c r="D20" s="55"/>
      <c r="E20" s="16"/>
      <c r="F20" s="28"/>
    </row>
    <row r="21" spans="2:8" ht="15.75" customHeight="1" x14ac:dyDescent="0.25">
      <c r="B21" s="123" t="s">
        <v>48</v>
      </c>
      <c r="C21" s="18" t="s">
        <v>360</v>
      </c>
      <c r="D21" s="240">
        <f>(D7*(1-D10))/((D9-D8)*(1-D10))</f>
        <v>610.16949152542372</v>
      </c>
      <c r="E21" s="20"/>
      <c r="F21" s="28"/>
    </row>
    <row r="22" spans="2:8" ht="15.75" customHeight="1" x14ac:dyDescent="0.2">
      <c r="B22" s="123"/>
      <c r="C22" s="18"/>
      <c r="D22" s="18"/>
      <c r="E22" s="20"/>
      <c r="F22" s="28"/>
    </row>
    <row r="23" spans="2:8" ht="15.75" customHeight="1" x14ac:dyDescent="0.2">
      <c r="B23" s="123"/>
      <c r="C23" s="18" t="s">
        <v>232</v>
      </c>
      <c r="D23" s="209">
        <f>PMT(D15,D13,-D12)</f>
        <v>8326.9796111901378</v>
      </c>
      <c r="E23" s="20"/>
      <c r="F23" s="28"/>
    </row>
    <row r="24" spans="2:8" ht="15.75" customHeight="1" x14ac:dyDescent="0.2">
      <c r="B24" s="123"/>
      <c r="C24" s="18"/>
      <c r="D24" s="215"/>
      <c r="E24" s="20"/>
      <c r="F24" s="28"/>
    </row>
    <row r="25" spans="2:8" ht="15.75" customHeight="1" x14ac:dyDescent="0.25">
      <c r="B25" s="123" t="s">
        <v>49</v>
      </c>
      <c r="C25" s="18" t="s">
        <v>361</v>
      </c>
      <c r="D25" s="239">
        <f>D23/((D9-D8)*(1-D10))</f>
        <v>893.26106105880035</v>
      </c>
      <c r="E25" s="20"/>
      <c r="F25" s="28"/>
    </row>
    <row r="26" spans="2:8" ht="15.75" customHeight="1" thickBot="1" x14ac:dyDescent="0.25">
      <c r="B26" s="23"/>
      <c r="C26" s="36"/>
      <c r="D26" s="49"/>
      <c r="E26" s="42"/>
      <c r="F26" s="28"/>
    </row>
    <row r="27" spans="2:8" ht="15.75" customHeight="1" x14ac:dyDescent="0.2">
      <c r="B27" s="28"/>
      <c r="C27" s="33"/>
      <c r="D27" s="34"/>
      <c r="E27" s="35"/>
      <c r="F27" s="32"/>
      <c r="G27" s="32"/>
      <c r="H27" s="28"/>
    </row>
    <row r="28" spans="2:8" ht="15.75" customHeight="1" x14ac:dyDescent="0.2">
      <c r="B28" s="28"/>
      <c r="C28" s="33"/>
      <c r="D28" s="34"/>
      <c r="E28" s="35"/>
      <c r="F28" s="32"/>
      <c r="G28" s="32"/>
      <c r="H28" s="28"/>
    </row>
    <row r="29" spans="2:8" ht="15.75" customHeight="1" x14ac:dyDescent="0.2">
      <c r="B29" s="28"/>
      <c r="C29" s="33"/>
      <c r="D29" s="34"/>
      <c r="E29" s="35"/>
      <c r="F29" s="32"/>
      <c r="G29" s="32"/>
      <c r="H29" s="28"/>
    </row>
    <row r="30" spans="2:8" ht="15.75" customHeight="1" x14ac:dyDescent="0.2">
      <c r="B30" s="28"/>
      <c r="C30" s="28"/>
      <c r="D30" s="28"/>
      <c r="E30" s="28"/>
      <c r="F30" s="28"/>
      <c r="G30" s="28"/>
      <c r="H30" s="28"/>
    </row>
    <row r="31" spans="2:8" ht="15.75" customHeight="1" x14ac:dyDescent="0.2">
      <c r="B31" s="13"/>
      <c r="C31" s="13"/>
      <c r="D31" s="13"/>
      <c r="E31" s="13"/>
      <c r="F31" s="13"/>
      <c r="G31" s="13"/>
      <c r="H31" s="13"/>
    </row>
    <row r="32" spans="2:8" ht="15.75" customHeight="1" x14ac:dyDescent="0.2"/>
    <row r="33" spans="4:4" ht="15.75" customHeight="1" x14ac:dyDescent="0.2">
      <c r="D33" s="26"/>
    </row>
    <row r="34" spans="4:4" ht="15.75" customHeight="1" x14ac:dyDescent="0.2"/>
    <row r="35" spans="4:4" ht="15.75" customHeight="1" x14ac:dyDescent="0.2"/>
    <row r="36" spans="4:4" ht="15.75" customHeight="1" x14ac:dyDescent="0.2"/>
    <row r="37" spans="4:4" ht="15.75" customHeight="1" x14ac:dyDescent="0.2"/>
    <row r="38" spans="4:4" ht="15.75" customHeight="1" x14ac:dyDescent="0.2"/>
    <row r="39" spans="4:4" ht="15.75" customHeight="1" x14ac:dyDescent="0.2"/>
    <row r="40" spans="4:4" ht="15.75" customHeight="1" x14ac:dyDescent="0.2"/>
    <row r="41" spans="4:4" ht="15.75" customHeight="1" x14ac:dyDescent="0.2"/>
    <row r="42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28515625" customWidth="1"/>
    <col min="4" max="4" width="5.7109375" customWidth="1"/>
    <col min="5" max="5" width="20.42578125" bestFit="1" customWidth="1"/>
    <col min="6" max="6" width="5.7109375" customWidth="1"/>
    <col min="7" max="7" width="20.42578125" customWidth="1"/>
    <col min="8" max="8" width="5.7109375" customWidth="1"/>
    <col min="9" max="9" width="20.42578125" customWidth="1"/>
    <col min="10" max="10" width="5.7109375" customWidth="1"/>
    <col min="11" max="11" width="20.42578125" customWidth="1"/>
    <col min="12" max="12" width="3.140625" customWidth="1"/>
    <col min="13" max="15" width="9.140625" customWidth="1"/>
  </cols>
  <sheetData>
    <row r="1" spans="2:8" ht="19.5" customHeight="1" x14ac:dyDescent="0.25">
      <c r="C1" s="1" t="s">
        <v>332</v>
      </c>
      <c r="D1" s="1"/>
    </row>
    <row r="2" spans="2:8" ht="15.75" customHeight="1" x14ac:dyDescent="0.2">
      <c r="C2" s="3" t="s">
        <v>237</v>
      </c>
      <c r="D2" s="3"/>
    </row>
    <row r="3" spans="2:8" ht="15.75" customHeight="1" x14ac:dyDescent="0.2"/>
    <row r="4" spans="2:8" ht="15.75" customHeight="1" x14ac:dyDescent="0.2">
      <c r="C4" s="2" t="s">
        <v>1</v>
      </c>
      <c r="D4" s="2"/>
    </row>
    <row r="5" spans="2:8" ht="15.75" customHeight="1" thickBot="1" x14ac:dyDescent="0.25"/>
    <row r="6" spans="2:8" ht="15.75" customHeight="1" x14ac:dyDescent="0.2">
      <c r="B6" s="4"/>
      <c r="C6" s="5"/>
      <c r="D6" s="5"/>
      <c r="E6" s="5"/>
      <c r="F6" s="6"/>
    </row>
    <row r="7" spans="2:8" ht="15.75" customHeight="1" x14ac:dyDescent="0.2">
      <c r="B7" s="7"/>
      <c r="C7" s="96" t="s">
        <v>238</v>
      </c>
      <c r="D7" s="96"/>
      <c r="E7" s="65">
        <v>25000</v>
      </c>
      <c r="F7" s="8"/>
    </row>
    <row r="8" spans="2:8" ht="15.75" customHeight="1" x14ac:dyDescent="0.2">
      <c r="B8" s="7"/>
      <c r="C8" s="96" t="s">
        <v>243</v>
      </c>
      <c r="D8" s="96"/>
      <c r="E8" s="317">
        <v>1.2500000000000001E-2</v>
      </c>
      <c r="F8" s="8"/>
    </row>
    <row r="9" spans="2:8" ht="15.75" customHeight="1" x14ac:dyDescent="0.2">
      <c r="B9" s="7"/>
      <c r="C9" s="242"/>
      <c r="D9" s="242"/>
      <c r="E9" s="242"/>
      <c r="F9" s="8"/>
    </row>
    <row r="10" spans="2:8" ht="15.75" customHeight="1" x14ac:dyDescent="0.2">
      <c r="B10" s="7"/>
      <c r="C10" s="12" t="s">
        <v>239</v>
      </c>
      <c r="D10" s="12"/>
      <c r="E10" s="242"/>
      <c r="F10" s="8"/>
    </row>
    <row r="11" spans="2:8" ht="15.75" customHeight="1" x14ac:dyDescent="0.2">
      <c r="B11" s="7"/>
      <c r="C11" s="12" t="s">
        <v>240</v>
      </c>
      <c r="D11" s="12"/>
      <c r="E11" s="121">
        <v>0.9</v>
      </c>
      <c r="F11" s="8"/>
      <c r="H11" s="50"/>
    </row>
    <row r="12" spans="2:8" ht="15.75" customHeight="1" x14ac:dyDescent="0.2">
      <c r="B12" s="7"/>
      <c r="C12" s="12" t="s">
        <v>241</v>
      </c>
      <c r="D12" s="12"/>
      <c r="E12" s="65"/>
      <c r="F12" s="8"/>
      <c r="H12" s="50"/>
    </row>
    <row r="13" spans="2:8" ht="15.75" customHeight="1" x14ac:dyDescent="0.2">
      <c r="B13" s="7"/>
      <c r="C13" s="12" t="s">
        <v>242</v>
      </c>
      <c r="D13" s="12"/>
      <c r="E13" s="121">
        <v>0.6</v>
      </c>
      <c r="F13" s="8"/>
      <c r="H13" s="50"/>
    </row>
    <row r="14" spans="2:8" ht="15.75" customHeight="1" x14ac:dyDescent="0.2">
      <c r="B14" s="7"/>
      <c r="C14" s="12"/>
      <c r="D14" s="12"/>
      <c r="E14" s="121"/>
      <c r="F14" s="8"/>
    </row>
    <row r="15" spans="2:8" ht="15.75" customHeight="1" x14ac:dyDescent="0.2">
      <c r="B15" s="7"/>
      <c r="C15" s="12" t="s">
        <v>334</v>
      </c>
      <c r="D15" s="12"/>
      <c r="E15" s="109">
        <v>45000000</v>
      </c>
      <c r="F15" s="8"/>
    </row>
    <row r="16" spans="2:8" ht="15.75" customHeight="1" thickBot="1" x14ac:dyDescent="0.25">
      <c r="B16" s="9"/>
      <c r="C16" s="52"/>
      <c r="D16" s="52"/>
      <c r="E16" s="52"/>
      <c r="F16" s="11"/>
    </row>
    <row r="17" spans="2:13" ht="15.75" customHeight="1" x14ac:dyDescent="0.2">
      <c r="B17" s="51"/>
      <c r="L17" s="51"/>
    </row>
    <row r="18" spans="2:13" ht="15.75" customHeight="1" x14ac:dyDescent="0.2">
      <c r="C18" s="2" t="s">
        <v>2</v>
      </c>
      <c r="D18" s="2"/>
    </row>
    <row r="19" spans="2:13" ht="15.75" customHeight="1" thickBot="1" x14ac:dyDescent="0.25"/>
    <row r="20" spans="2:13" ht="15.75" customHeight="1" x14ac:dyDescent="0.2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0"/>
    </row>
    <row r="21" spans="2:13" ht="15.75" customHeight="1" x14ac:dyDescent="0.2">
      <c r="B21" s="17"/>
      <c r="C21" s="18" t="s">
        <v>254</v>
      </c>
      <c r="D21" s="19"/>
      <c r="E21" s="19"/>
      <c r="F21" s="19"/>
      <c r="G21" s="19"/>
      <c r="H21" s="19"/>
      <c r="I21" s="61">
        <f>K28*I28</f>
        <v>18000000</v>
      </c>
      <c r="J21" s="19"/>
      <c r="K21" s="19"/>
      <c r="L21" s="151"/>
    </row>
    <row r="22" spans="2:13" ht="15.75" customHeight="1" x14ac:dyDescent="0.2">
      <c r="B22" s="17"/>
      <c r="C22" s="18"/>
      <c r="D22" s="19"/>
      <c r="E22" s="19"/>
      <c r="F22" s="19"/>
      <c r="G22" s="19"/>
      <c r="H22" s="19"/>
      <c r="I22" s="117"/>
      <c r="J22" s="19"/>
      <c r="K22" s="19"/>
      <c r="L22" s="151"/>
    </row>
    <row r="23" spans="2:13" ht="15.75" customHeight="1" x14ac:dyDescent="0.2">
      <c r="B23" s="17"/>
      <c r="C23" s="18" t="s">
        <v>255</v>
      </c>
      <c r="D23" s="19"/>
      <c r="E23" s="19"/>
      <c r="F23" s="19"/>
      <c r="G23" s="19"/>
      <c r="H23" s="19"/>
      <c r="I23" s="61">
        <f>I21*E30</f>
        <v>1799999.9999999995</v>
      </c>
      <c r="J23" s="19"/>
      <c r="K23" s="19"/>
      <c r="L23" s="151"/>
    </row>
    <row r="24" spans="2:13" ht="15.75" customHeight="1" x14ac:dyDescent="0.2">
      <c r="B24" s="17"/>
      <c r="C24" s="19"/>
      <c r="D24" s="19"/>
      <c r="E24" s="19"/>
      <c r="F24" s="19"/>
      <c r="G24" s="19"/>
      <c r="H24" s="19"/>
      <c r="I24" s="117"/>
      <c r="J24" s="19"/>
      <c r="K24" s="19"/>
      <c r="L24" s="151"/>
    </row>
    <row r="25" spans="2:13" ht="15.75" customHeight="1" x14ac:dyDescent="0.2">
      <c r="B25" s="17"/>
      <c r="C25" s="18" t="s">
        <v>256</v>
      </c>
      <c r="D25" s="19"/>
      <c r="E25" s="19"/>
      <c r="F25" s="19"/>
      <c r="G25" s="19"/>
      <c r="H25" s="19"/>
      <c r="I25" s="61">
        <f>I23*E8</f>
        <v>22499.999999999996</v>
      </c>
      <c r="J25" s="19"/>
      <c r="K25" s="19"/>
      <c r="L25" s="151"/>
    </row>
    <row r="26" spans="2:13" ht="15.75" customHeight="1" x14ac:dyDescent="0.2">
      <c r="B26" s="17"/>
      <c r="C26" s="19"/>
      <c r="D26" s="19"/>
      <c r="E26" s="19"/>
      <c r="F26" s="19"/>
      <c r="G26" s="19"/>
      <c r="H26" s="19"/>
      <c r="I26" s="19"/>
      <c r="J26" s="19"/>
      <c r="K26" s="19"/>
      <c r="L26" s="151"/>
    </row>
    <row r="27" spans="2:13" ht="15.75" customHeight="1" x14ac:dyDescent="0.2">
      <c r="B27" s="17"/>
      <c r="C27" s="19"/>
      <c r="D27" s="19"/>
      <c r="E27" s="19"/>
      <c r="F27" s="19"/>
      <c r="G27" s="19"/>
      <c r="H27" s="19"/>
      <c r="I27" s="19"/>
      <c r="J27" s="19"/>
      <c r="K27" s="245" t="s">
        <v>252</v>
      </c>
      <c r="L27" s="151"/>
    </row>
    <row r="28" spans="2:13" ht="15.75" customHeight="1" x14ac:dyDescent="0.2">
      <c r="B28" s="17"/>
      <c r="C28" s="244"/>
      <c r="D28" s="244"/>
      <c r="E28" s="244"/>
      <c r="F28" s="244"/>
      <c r="G28" s="244"/>
      <c r="H28" s="244"/>
      <c r="I28" s="253">
        <f>1-E13</f>
        <v>0.4</v>
      </c>
      <c r="J28" s="200"/>
      <c r="K28" s="256">
        <f>E15</f>
        <v>45000000</v>
      </c>
      <c r="L28" s="151"/>
    </row>
    <row r="29" spans="2:13" ht="15.75" customHeight="1" x14ac:dyDescent="0.2">
      <c r="B29" s="17"/>
      <c r="C29" s="244"/>
      <c r="D29" s="244"/>
      <c r="E29" s="244"/>
      <c r="F29" s="200"/>
      <c r="G29" s="200"/>
      <c r="H29" s="200"/>
      <c r="I29" s="245" t="s">
        <v>250</v>
      </c>
      <c r="J29" s="200"/>
      <c r="K29" s="159"/>
      <c r="L29" s="151"/>
    </row>
    <row r="30" spans="2:13" ht="15.75" customHeight="1" x14ac:dyDescent="0.2">
      <c r="B30" s="17"/>
      <c r="C30" s="244"/>
      <c r="D30" s="244"/>
      <c r="E30" s="253">
        <f>1-E11</f>
        <v>9.9999999999999978E-2</v>
      </c>
      <c r="F30" s="200"/>
      <c r="G30" s="245" t="s">
        <v>247</v>
      </c>
      <c r="H30" s="200"/>
      <c r="I30" s="200"/>
      <c r="J30" s="200"/>
      <c r="K30" s="200"/>
      <c r="L30" s="151"/>
    </row>
    <row r="31" spans="2:13" ht="15.75" customHeight="1" x14ac:dyDescent="0.2">
      <c r="B31" s="56"/>
      <c r="C31" s="222"/>
      <c r="D31" s="222"/>
      <c r="E31" s="245" t="s">
        <v>245</v>
      </c>
      <c r="F31" s="246"/>
      <c r="G31" s="246"/>
      <c r="H31" s="246"/>
      <c r="I31" s="255" t="s">
        <v>251</v>
      </c>
      <c r="J31" s="246"/>
      <c r="K31" s="246"/>
      <c r="L31" s="21"/>
      <c r="M31" s="29"/>
    </row>
    <row r="32" spans="2:13" ht="15.75" customHeight="1" x14ac:dyDescent="0.2">
      <c r="B32" s="123"/>
      <c r="C32" s="247" t="s">
        <v>244</v>
      </c>
      <c r="D32" s="222"/>
      <c r="E32" s="248"/>
      <c r="F32" s="248"/>
      <c r="G32" s="248"/>
      <c r="H32" s="248"/>
      <c r="I32" s="253">
        <f>E13</f>
        <v>0.6</v>
      </c>
      <c r="J32" s="248"/>
      <c r="K32" s="254" t="s">
        <v>253</v>
      </c>
      <c r="L32" s="21"/>
      <c r="M32" s="29"/>
    </row>
    <row r="33" spans="2:15" ht="15.75" customHeight="1" x14ac:dyDescent="0.2">
      <c r="B33" s="56"/>
      <c r="C33" s="222"/>
      <c r="D33" s="222"/>
      <c r="E33" s="249" t="s">
        <v>246</v>
      </c>
      <c r="F33" s="250"/>
      <c r="G33" s="250"/>
      <c r="H33" s="250"/>
      <c r="I33" s="246"/>
      <c r="J33" s="246"/>
      <c r="K33" s="246" t="s">
        <v>249</v>
      </c>
      <c r="L33" s="21"/>
      <c r="M33" s="29"/>
    </row>
    <row r="34" spans="2:15" ht="15.75" customHeight="1" x14ac:dyDescent="0.2">
      <c r="B34" s="56"/>
      <c r="C34" s="222"/>
      <c r="D34" s="222"/>
      <c r="E34" s="253">
        <f>E11</f>
        <v>0.9</v>
      </c>
      <c r="F34" s="251"/>
      <c r="G34" s="252" t="s">
        <v>248</v>
      </c>
      <c r="H34" s="251"/>
      <c r="I34" s="250"/>
      <c r="J34" s="250"/>
      <c r="K34" s="243"/>
      <c r="L34" s="21"/>
      <c r="M34" s="29"/>
    </row>
    <row r="35" spans="2:15" ht="15.75" customHeight="1" x14ac:dyDescent="0.2">
      <c r="B35" s="56"/>
      <c r="C35" s="222"/>
      <c r="D35" s="222"/>
      <c r="E35" s="250"/>
      <c r="F35" s="250"/>
      <c r="G35" s="250" t="s">
        <v>249</v>
      </c>
      <c r="H35" s="250"/>
      <c r="I35" s="250"/>
      <c r="J35" s="250"/>
      <c r="K35" s="243"/>
      <c r="L35" s="21"/>
      <c r="M35" s="29"/>
    </row>
    <row r="36" spans="2:15" ht="15.75" customHeight="1" x14ac:dyDescent="0.2">
      <c r="B36" s="56"/>
      <c r="C36" s="222"/>
      <c r="D36" s="222"/>
      <c r="E36" s="250"/>
      <c r="F36" s="250"/>
      <c r="G36" s="250"/>
      <c r="H36" s="250"/>
      <c r="I36" s="250"/>
      <c r="J36" s="250"/>
      <c r="K36" s="243"/>
      <c r="L36" s="21"/>
      <c r="M36" s="29"/>
    </row>
    <row r="37" spans="2:15" ht="15.75" customHeight="1" x14ac:dyDescent="0.2">
      <c r="B37" s="56"/>
      <c r="C37" s="222"/>
      <c r="D37" s="222"/>
      <c r="E37" s="250"/>
      <c r="F37" s="250"/>
      <c r="G37" s="250"/>
      <c r="H37" s="250"/>
      <c r="I37" s="250"/>
      <c r="J37" s="250"/>
      <c r="K37" s="243"/>
      <c r="L37" s="21"/>
      <c r="M37" s="29"/>
    </row>
    <row r="38" spans="2:15" ht="15.75" customHeight="1" x14ac:dyDescent="0.25">
      <c r="B38" s="56"/>
      <c r="C38" s="164" t="s">
        <v>257</v>
      </c>
      <c r="D38" s="257" t="str">
        <f>IF(E7&gt;I25,"the cash upfront.","a percentage of the profits.")</f>
        <v>the cash upfront.</v>
      </c>
      <c r="E38" s="250"/>
      <c r="F38" s="250"/>
      <c r="G38" s="250"/>
      <c r="H38" s="250"/>
      <c r="I38" s="250"/>
      <c r="J38" s="250"/>
      <c r="K38" s="243"/>
      <c r="L38" s="21"/>
      <c r="M38" s="29"/>
    </row>
    <row r="39" spans="2:15" ht="15.75" customHeight="1" thickBot="1" x14ac:dyDescent="0.25">
      <c r="B39" s="172"/>
      <c r="C39" s="48"/>
      <c r="D39" s="48"/>
      <c r="E39" s="48"/>
      <c r="F39" s="48"/>
      <c r="G39" s="48"/>
      <c r="H39" s="48"/>
      <c r="I39" s="48"/>
      <c r="J39" s="48"/>
      <c r="K39" s="48"/>
      <c r="L39" s="47"/>
      <c r="M39" s="29"/>
    </row>
    <row r="40" spans="2:15" ht="15.75" customHeight="1" x14ac:dyDescent="0.2">
      <c r="B40" s="46"/>
      <c r="C40" s="3"/>
      <c r="D40" s="3"/>
      <c r="E40" s="3"/>
      <c r="F40" s="3"/>
      <c r="G40" s="3"/>
      <c r="H40" s="3"/>
      <c r="I40" s="3"/>
      <c r="J40" s="3"/>
      <c r="K40" s="3"/>
      <c r="L40" s="46"/>
      <c r="M40" s="46"/>
      <c r="N40" s="46"/>
      <c r="O40" s="46"/>
    </row>
    <row r="41" spans="2:15" ht="15.75" customHeight="1" x14ac:dyDescent="0.2">
      <c r="B41" s="3"/>
      <c r="C41" s="3"/>
      <c r="D41" s="3"/>
      <c r="E41" s="116"/>
      <c r="F41" s="116"/>
      <c r="G41" s="116"/>
      <c r="H41" s="116"/>
      <c r="I41" s="116"/>
      <c r="J41" s="116"/>
      <c r="K41" s="116"/>
      <c r="L41" s="3"/>
      <c r="M41" s="3"/>
      <c r="N41" s="3"/>
      <c r="O41" s="3"/>
    </row>
    <row r="42" spans="2:15" ht="15.7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ht="15.7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 ht="15.75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5" ht="15.75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 ht="15.75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2:15" ht="15.75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15.75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ht="15.75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ht="15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ht="15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ht="15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 ht="15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ht="15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ht="15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ht="15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15" ht="15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15" ht="15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15" ht="15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2:15" ht="15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2:15" ht="15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2:15" ht="15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2:15" ht="15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2:15" ht="15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2:15" ht="15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2:15" ht="15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2:15" ht="15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15" ht="15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2:15" ht="15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2:15" ht="15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2:15" ht="15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2:15" ht="15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2:15" ht="15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2:15" ht="15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2:15" ht="15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2:15" ht="15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2:15" ht="15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2:15" ht="15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2:15" ht="15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2:15" ht="15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2:15" ht="15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2:15" ht="15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2:15" ht="15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2:15" ht="15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2:15" ht="15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2:15" ht="15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workbookViewId="0">
      <selection activeCell="D21" sqref="D21"/>
    </sheetView>
  </sheetViews>
  <sheetFormatPr defaultRowHeight="12.75" x14ac:dyDescent="0.2"/>
  <cols>
    <col min="2" max="2" width="3.140625" customWidth="1"/>
    <col min="3" max="3" width="29.5703125" bestFit="1" customWidth="1"/>
    <col min="4" max="4" width="19.5703125" bestFit="1" customWidth="1"/>
    <col min="5" max="5" width="3.140625" customWidth="1"/>
    <col min="6" max="8" width="9.140625" customWidth="1"/>
  </cols>
  <sheetData>
    <row r="1" spans="2:7" ht="16.5" customHeight="1" x14ac:dyDescent="0.25">
      <c r="C1" s="1" t="s">
        <v>332</v>
      </c>
    </row>
    <row r="2" spans="2:7" ht="15.75" customHeight="1" x14ac:dyDescent="0.2">
      <c r="C2" s="3" t="s">
        <v>280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335</v>
      </c>
      <c r="D7" s="110">
        <v>33600</v>
      </c>
      <c r="E7" s="39"/>
      <c r="F7" s="13"/>
    </row>
    <row r="8" spans="2:7" ht="15.75" customHeight="1" x14ac:dyDescent="0.2">
      <c r="B8" s="7"/>
      <c r="C8" s="12" t="s">
        <v>336</v>
      </c>
      <c r="D8" s="110">
        <v>4200</v>
      </c>
      <c r="E8" s="39"/>
      <c r="F8" s="13"/>
    </row>
    <row r="9" spans="2:7" ht="15.75" customHeight="1" x14ac:dyDescent="0.2">
      <c r="B9" s="7"/>
      <c r="C9" s="12" t="s">
        <v>17</v>
      </c>
      <c r="D9" s="121">
        <v>0.12</v>
      </c>
      <c r="E9" s="39"/>
      <c r="F9" s="13"/>
    </row>
    <row r="10" spans="2:7" ht="15.75" customHeight="1" x14ac:dyDescent="0.2">
      <c r="B10" s="7"/>
      <c r="C10" s="12" t="s">
        <v>337</v>
      </c>
      <c r="D10" s="302">
        <v>17400000</v>
      </c>
      <c r="E10" s="39"/>
      <c r="F10" s="13"/>
    </row>
    <row r="11" spans="2:7" ht="15.75" customHeight="1" x14ac:dyDescent="0.2">
      <c r="B11" s="7"/>
      <c r="C11" s="12" t="s">
        <v>338</v>
      </c>
      <c r="D11" s="237">
        <v>900</v>
      </c>
      <c r="E11" s="39"/>
      <c r="F11" s="13"/>
    </row>
    <row r="12" spans="2:7" ht="15.75" customHeight="1" x14ac:dyDescent="0.2">
      <c r="B12" s="7"/>
      <c r="C12" s="12" t="s">
        <v>339</v>
      </c>
      <c r="D12" s="121">
        <v>0.6</v>
      </c>
      <c r="E12" s="39"/>
      <c r="F12" s="13"/>
    </row>
    <row r="13" spans="2:7" ht="15.75" customHeight="1" x14ac:dyDescent="0.2">
      <c r="B13" s="7"/>
      <c r="C13" s="12" t="s">
        <v>340</v>
      </c>
      <c r="D13" s="302">
        <v>1150</v>
      </c>
      <c r="E13" s="39"/>
      <c r="F13" s="13"/>
    </row>
    <row r="14" spans="2:7" ht="15.75" customHeight="1" x14ac:dyDescent="0.2">
      <c r="B14" s="7"/>
      <c r="C14" s="12" t="s">
        <v>341</v>
      </c>
      <c r="D14" s="289">
        <f>1-D12</f>
        <v>0.4</v>
      </c>
      <c r="E14" s="39"/>
      <c r="F14" s="13"/>
    </row>
    <row r="15" spans="2:7" ht="15.75" customHeight="1" x14ac:dyDescent="0.2">
      <c r="B15" s="7"/>
      <c r="C15" s="12" t="s">
        <v>342</v>
      </c>
      <c r="D15" s="302">
        <v>700</v>
      </c>
      <c r="E15" s="39"/>
      <c r="F15" s="13"/>
    </row>
    <row r="16" spans="2:7" ht="15.75" customHeight="1" thickBot="1" x14ac:dyDescent="0.25">
      <c r="B16" s="9"/>
      <c r="C16" s="10"/>
      <c r="D16" s="10"/>
      <c r="E16" s="40"/>
      <c r="F16" s="13"/>
    </row>
    <row r="17" spans="2:6" ht="15.75" customHeight="1" x14ac:dyDescent="0.2"/>
    <row r="18" spans="2:6" ht="15.75" customHeight="1" x14ac:dyDescent="0.2">
      <c r="C18" s="2" t="s">
        <v>2</v>
      </c>
    </row>
    <row r="19" spans="2:6" ht="15.75" customHeight="1" thickBot="1" x14ac:dyDescent="0.25"/>
    <row r="20" spans="2:6" ht="15.75" customHeight="1" x14ac:dyDescent="0.2">
      <c r="B20" s="14"/>
      <c r="C20" s="55"/>
      <c r="D20" s="55"/>
      <c r="E20" s="16"/>
      <c r="F20" s="28"/>
    </row>
    <row r="21" spans="2:6" ht="15.75" customHeight="1" x14ac:dyDescent="0.2">
      <c r="B21" s="17"/>
      <c r="C21" s="18" t="s">
        <v>343</v>
      </c>
      <c r="D21" s="62">
        <f>D7/D8</f>
        <v>8</v>
      </c>
      <c r="E21" s="20"/>
      <c r="F21" s="28"/>
    </row>
    <row r="22" spans="2:6" ht="15.75" customHeight="1" x14ac:dyDescent="0.2">
      <c r="B22" s="17"/>
      <c r="C22" s="18"/>
      <c r="D22" s="62"/>
      <c r="E22" s="20"/>
      <c r="F22" s="28"/>
    </row>
    <row r="23" spans="2:6" ht="15.75" customHeight="1" x14ac:dyDescent="0.2">
      <c r="B23" s="17"/>
      <c r="C23" s="18" t="s">
        <v>344</v>
      </c>
      <c r="D23" s="66">
        <f>D8*D11</f>
        <v>3780000</v>
      </c>
      <c r="E23" s="20"/>
      <c r="F23" s="28"/>
    </row>
    <row r="24" spans="2:6" ht="15.75" customHeight="1" x14ac:dyDescent="0.2">
      <c r="B24" s="17"/>
      <c r="C24" s="18" t="s">
        <v>345</v>
      </c>
      <c r="D24" s="66">
        <f>-D10+PV(D9,D21,-D23)</f>
        <v>1377678.3186498731</v>
      </c>
      <c r="E24" s="20"/>
      <c r="F24" s="28"/>
    </row>
    <row r="25" spans="2:6" ht="15.75" customHeight="1" x14ac:dyDescent="0.2">
      <c r="B25" s="17"/>
      <c r="C25" s="18"/>
      <c r="D25" s="66"/>
      <c r="E25" s="20"/>
      <c r="F25" s="28"/>
    </row>
    <row r="26" spans="2:6" ht="15.75" customHeight="1" x14ac:dyDescent="0.2">
      <c r="B26" s="17"/>
      <c r="C26" s="18" t="s">
        <v>347</v>
      </c>
      <c r="D26" s="160">
        <f>D13*D8</f>
        <v>4830000</v>
      </c>
      <c r="E26" s="20"/>
      <c r="F26" s="28"/>
    </row>
    <row r="27" spans="2:6" ht="15.75" customHeight="1" x14ac:dyDescent="0.2">
      <c r="B27" s="17"/>
      <c r="C27" s="18" t="s">
        <v>348</v>
      </c>
      <c r="D27" s="160">
        <f>D15*D8</f>
        <v>2940000</v>
      </c>
      <c r="E27" s="20"/>
      <c r="F27" s="28"/>
    </row>
    <row r="28" spans="2:6" ht="15.75" customHeight="1" x14ac:dyDescent="0.2">
      <c r="B28" s="17"/>
      <c r="C28" s="18"/>
      <c r="D28" s="66"/>
      <c r="E28" s="20"/>
      <c r="F28" s="28"/>
    </row>
    <row r="29" spans="2:6" ht="15.75" customHeight="1" x14ac:dyDescent="0.2">
      <c r="B29" s="17"/>
      <c r="C29" s="303" t="s">
        <v>346</v>
      </c>
      <c r="D29" s="66"/>
      <c r="E29" s="20"/>
      <c r="F29" s="28"/>
    </row>
    <row r="30" spans="2:6" ht="15.75" customHeight="1" x14ac:dyDescent="0.2">
      <c r="B30" s="17"/>
      <c r="C30" s="18" t="s">
        <v>347</v>
      </c>
      <c r="D30" s="66">
        <f>PV(D9,D21,-D26)</f>
        <v>23993700.073830396</v>
      </c>
      <c r="E30" s="20"/>
      <c r="F30" s="28"/>
    </row>
    <row r="31" spans="2:6" ht="15.75" customHeight="1" x14ac:dyDescent="0.2">
      <c r="B31" s="17"/>
      <c r="C31" s="18" t="s">
        <v>348</v>
      </c>
      <c r="D31" s="66">
        <f>PV(D9,D21,-D27)</f>
        <v>14604860.914505458</v>
      </c>
      <c r="E31" s="20"/>
      <c r="F31" s="28"/>
    </row>
    <row r="32" spans="2:6" ht="15.75" customHeight="1" x14ac:dyDescent="0.2">
      <c r="B32" s="17"/>
      <c r="C32" s="18" t="s">
        <v>349</v>
      </c>
      <c r="D32" s="66">
        <f>-D10+(D30*D12)+(D31*D14)</f>
        <v>2838164.4101004209</v>
      </c>
      <c r="E32" s="20"/>
      <c r="F32" s="28"/>
    </row>
    <row r="33" spans="2:8" ht="15.75" customHeight="1" x14ac:dyDescent="0.2">
      <c r="B33" s="17"/>
      <c r="C33" s="18"/>
      <c r="D33" s="66"/>
      <c r="E33" s="20"/>
      <c r="F33" s="28"/>
    </row>
    <row r="34" spans="2:8" ht="15.75" customHeight="1" x14ac:dyDescent="0.2">
      <c r="B34" s="17"/>
      <c r="C34" s="18" t="s">
        <v>350</v>
      </c>
      <c r="D34" s="66">
        <f>PV(D9,1,,-D32)</f>
        <v>2534075.3661610899</v>
      </c>
      <c r="E34" s="20"/>
      <c r="F34" s="28"/>
    </row>
    <row r="35" spans="2:8" ht="15.75" customHeight="1" x14ac:dyDescent="0.2">
      <c r="B35" s="17"/>
      <c r="C35" s="18"/>
      <c r="D35" s="18"/>
      <c r="E35" s="20"/>
      <c r="F35" s="28"/>
    </row>
    <row r="36" spans="2:8" ht="15.75" customHeight="1" x14ac:dyDescent="0.25">
      <c r="B36" s="17"/>
      <c r="C36" s="18" t="s">
        <v>351</v>
      </c>
      <c r="D36" s="114">
        <f>D34-D24</f>
        <v>1156397.0475112167</v>
      </c>
      <c r="E36" s="20"/>
      <c r="F36" s="28"/>
    </row>
    <row r="37" spans="2:8" ht="15.75" customHeight="1" thickBot="1" x14ac:dyDescent="0.25">
      <c r="B37" s="23"/>
      <c r="C37" s="36"/>
      <c r="D37" s="49"/>
      <c r="E37" s="42"/>
      <c r="F37" s="28"/>
    </row>
    <row r="38" spans="2:8" ht="15.75" customHeight="1" x14ac:dyDescent="0.2">
      <c r="B38" s="28"/>
      <c r="C38" s="33"/>
      <c r="D38" s="34"/>
      <c r="E38" s="35"/>
      <c r="F38" s="32"/>
      <c r="G38" s="32"/>
      <c r="H38" s="28"/>
    </row>
    <row r="39" spans="2:8" ht="15.75" customHeight="1" x14ac:dyDescent="0.2">
      <c r="B39" s="28"/>
      <c r="C39" s="33"/>
      <c r="D39" s="34"/>
      <c r="E39" s="35"/>
      <c r="F39" s="32"/>
      <c r="G39" s="32"/>
      <c r="H39" s="28"/>
    </row>
    <row r="40" spans="2:8" ht="15.75" customHeight="1" x14ac:dyDescent="0.2">
      <c r="B40" s="28"/>
      <c r="C40" s="33"/>
      <c r="D40" s="34"/>
      <c r="E40" s="35"/>
      <c r="F40" s="32"/>
      <c r="G40" s="32"/>
      <c r="H40" s="28"/>
    </row>
    <row r="41" spans="2:8" ht="15.75" customHeight="1" x14ac:dyDescent="0.2">
      <c r="B41" s="28"/>
      <c r="C41" s="28"/>
      <c r="D41" s="28"/>
      <c r="E41" s="28"/>
      <c r="F41" s="28"/>
      <c r="G41" s="28"/>
      <c r="H41" s="28"/>
    </row>
    <row r="42" spans="2:8" ht="15.75" customHeight="1" x14ac:dyDescent="0.2">
      <c r="B42" s="13"/>
      <c r="C42" s="13"/>
      <c r="D42" s="13"/>
      <c r="E42" s="13"/>
      <c r="F42" s="13"/>
      <c r="G42" s="13"/>
      <c r="H42" s="13"/>
    </row>
    <row r="43" spans="2:8" ht="15.75" customHeight="1" x14ac:dyDescent="0.2"/>
    <row r="44" spans="2:8" ht="15.75" customHeight="1" x14ac:dyDescent="0.2">
      <c r="D44" s="26"/>
    </row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20.140625" bestFit="1" customWidth="1"/>
    <col min="5" max="5" width="3.140625" customWidth="1"/>
    <col min="6" max="8" width="9.140625" customWidth="1"/>
  </cols>
  <sheetData>
    <row r="1" spans="2:7" ht="18" x14ac:dyDescent="0.25">
      <c r="C1" s="1" t="s">
        <v>332</v>
      </c>
    </row>
    <row r="2" spans="2:7" ht="15.75" customHeight="1" x14ac:dyDescent="0.2">
      <c r="C2" s="3" t="s">
        <v>28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281</v>
      </c>
      <c r="D7" s="109">
        <v>8700000</v>
      </c>
      <c r="E7" s="39"/>
      <c r="F7" s="13"/>
    </row>
    <row r="8" spans="2:7" ht="15.75" customHeight="1" x14ac:dyDescent="0.2">
      <c r="B8" s="7"/>
      <c r="C8" s="12" t="s">
        <v>62</v>
      </c>
      <c r="D8" s="110">
        <v>10</v>
      </c>
      <c r="E8" s="39"/>
      <c r="F8" s="13"/>
    </row>
    <row r="9" spans="2:7" ht="15.75" customHeight="1" x14ac:dyDescent="0.2">
      <c r="B9" s="7"/>
      <c r="C9" s="12" t="s">
        <v>177</v>
      </c>
      <c r="D9" s="121">
        <v>0.13</v>
      </c>
      <c r="E9" s="39"/>
      <c r="F9" s="13"/>
    </row>
    <row r="10" spans="2:7" ht="15.75" customHeight="1" x14ac:dyDescent="0.2">
      <c r="B10" s="7"/>
      <c r="C10" s="12" t="s">
        <v>22</v>
      </c>
      <c r="D10" s="109">
        <v>43000000</v>
      </c>
      <c r="E10" s="39"/>
      <c r="F10" s="13"/>
    </row>
    <row r="11" spans="2:7" ht="15.75" customHeight="1" x14ac:dyDescent="0.2">
      <c r="B11" s="7"/>
      <c r="C11" s="12" t="s">
        <v>283</v>
      </c>
      <c r="D11" s="109">
        <v>28000000</v>
      </c>
      <c r="E11" s="39"/>
      <c r="F11" s="13"/>
    </row>
    <row r="12" spans="2:7" ht="15.75" customHeight="1" thickBot="1" x14ac:dyDescent="0.25">
      <c r="B12" s="9"/>
      <c r="C12" s="10"/>
      <c r="D12" s="10"/>
      <c r="E12" s="40"/>
      <c r="F12" s="13"/>
    </row>
    <row r="13" spans="2:7" ht="15.75" customHeight="1" x14ac:dyDescent="0.2"/>
    <row r="14" spans="2:7" ht="15.75" customHeight="1" x14ac:dyDescent="0.2">
      <c r="C14" s="2" t="s">
        <v>2</v>
      </c>
    </row>
    <row r="15" spans="2:7" ht="15.75" customHeight="1" thickBot="1" x14ac:dyDescent="0.25"/>
    <row r="16" spans="2:7" ht="15.75" customHeight="1" x14ac:dyDescent="0.2">
      <c r="B16" s="14"/>
      <c r="C16" s="55"/>
      <c r="D16" s="55"/>
      <c r="E16" s="16"/>
      <c r="F16" s="28"/>
    </row>
    <row r="17" spans="2:8" ht="15.75" customHeight="1" x14ac:dyDescent="0.25">
      <c r="B17" s="123" t="s">
        <v>48</v>
      </c>
      <c r="C17" s="18" t="s">
        <v>18</v>
      </c>
      <c r="D17" s="114">
        <f>-D10+PV(D9,D8,-D7)</f>
        <v>4208318.2407900542</v>
      </c>
      <c r="E17" s="20"/>
      <c r="F17" s="28"/>
    </row>
    <row r="18" spans="2:8" ht="15.75" customHeight="1" x14ac:dyDescent="0.2">
      <c r="B18" s="123"/>
      <c r="C18" s="18"/>
      <c r="D18" s="280"/>
      <c r="E18" s="20"/>
      <c r="F18" s="28"/>
    </row>
    <row r="19" spans="2:8" ht="15.75" customHeight="1" x14ac:dyDescent="0.25">
      <c r="B19" s="123" t="s">
        <v>49</v>
      </c>
      <c r="C19" s="18" t="s">
        <v>282</v>
      </c>
      <c r="D19" s="114">
        <f>PMT(D9,D8-1,-D11)</f>
        <v>5456329.2548963483</v>
      </c>
      <c r="E19" s="20"/>
      <c r="F19" s="28"/>
    </row>
    <row r="20" spans="2:8" ht="15.75" customHeight="1" thickBot="1" x14ac:dyDescent="0.25">
      <c r="B20" s="23"/>
      <c r="C20" s="36"/>
      <c r="D20" s="49"/>
      <c r="E20" s="42"/>
      <c r="F20" s="28"/>
    </row>
    <row r="21" spans="2:8" ht="15.75" customHeight="1" x14ac:dyDescent="0.2">
      <c r="B21" s="28"/>
      <c r="C21" s="33"/>
      <c r="D21" s="34"/>
      <c r="E21" s="35"/>
      <c r="F21" s="32"/>
      <c r="G21" s="32"/>
      <c r="H21" s="28"/>
    </row>
    <row r="22" spans="2:8" ht="15.75" customHeight="1" x14ac:dyDescent="0.2">
      <c r="B22" s="28"/>
      <c r="C22" s="33"/>
      <c r="D22" s="34"/>
      <c r="E22" s="35"/>
      <c r="F22" s="32"/>
      <c r="G22" s="32"/>
      <c r="H22" s="28"/>
    </row>
    <row r="23" spans="2:8" ht="15.75" customHeight="1" x14ac:dyDescent="0.2">
      <c r="B23" s="28"/>
      <c r="C23" s="33"/>
      <c r="D23" s="34"/>
      <c r="E23" s="35"/>
      <c r="F23" s="32"/>
      <c r="G23" s="32"/>
      <c r="H23" s="28"/>
    </row>
    <row r="24" spans="2:8" ht="15.75" customHeight="1" x14ac:dyDescent="0.2">
      <c r="B24" s="28"/>
      <c r="C24" s="28"/>
      <c r="D24" s="28"/>
      <c r="E24" s="28"/>
      <c r="F24" s="28"/>
      <c r="G24" s="28"/>
      <c r="H24" s="28"/>
    </row>
    <row r="25" spans="2:8" ht="15.75" customHeight="1" x14ac:dyDescent="0.2">
      <c r="B25" s="13"/>
      <c r="C25" s="13"/>
      <c r="D25" s="13"/>
      <c r="E25" s="13"/>
      <c r="F25" s="13"/>
      <c r="G25" s="13"/>
      <c r="H25" s="13"/>
    </row>
    <row r="26" spans="2:8" ht="15.75" customHeight="1" x14ac:dyDescent="0.2"/>
    <row r="27" spans="2:8" ht="15.75" customHeight="1" x14ac:dyDescent="0.2">
      <c r="D27" s="26"/>
    </row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20.140625" bestFit="1" customWidth="1"/>
    <col min="5" max="5" width="3.140625" customWidth="1"/>
    <col min="6" max="8" width="9.140625" customWidth="1"/>
  </cols>
  <sheetData>
    <row r="1" spans="2:7" ht="18" x14ac:dyDescent="0.25">
      <c r="C1" s="1" t="s">
        <v>332</v>
      </c>
    </row>
    <row r="2" spans="2:7" ht="15.75" customHeight="1" x14ac:dyDescent="0.2">
      <c r="C2" s="3" t="s">
        <v>41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195</v>
      </c>
      <c r="D7" s="110">
        <v>20</v>
      </c>
      <c r="E7" s="39"/>
      <c r="F7" s="13"/>
    </row>
    <row r="8" spans="2:7" ht="15.75" customHeight="1" x14ac:dyDescent="0.2">
      <c r="B8" s="7"/>
      <c r="C8" s="12" t="s">
        <v>284</v>
      </c>
      <c r="D8" s="109">
        <v>235000</v>
      </c>
      <c r="E8" s="39"/>
      <c r="F8" s="13"/>
    </row>
    <row r="9" spans="2:7" ht="15.75" customHeight="1" x14ac:dyDescent="0.2">
      <c r="B9" s="7"/>
      <c r="C9" s="12" t="s">
        <v>234</v>
      </c>
      <c r="D9" s="110">
        <v>5</v>
      </c>
      <c r="E9" s="39"/>
      <c r="F9" s="13"/>
    </row>
    <row r="10" spans="2:7" ht="15.75" customHeight="1" x14ac:dyDescent="0.2">
      <c r="B10" s="7"/>
      <c r="C10" s="12" t="s">
        <v>285</v>
      </c>
      <c r="D10" s="109">
        <v>17600000</v>
      </c>
      <c r="E10" s="39"/>
      <c r="F10" s="13"/>
    </row>
    <row r="11" spans="2:7" ht="15.75" customHeight="1" x14ac:dyDescent="0.2">
      <c r="B11" s="7"/>
      <c r="C11" s="12" t="s">
        <v>177</v>
      </c>
      <c r="D11" s="121">
        <v>0.11</v>
      </c>
      <c r="E11" s="39"/>
      <c r="F11" s="13"/>
    </row>
    <row r="12" spans="2:7" ht="15.75" customHeight="1" x14ac:dyDescent="0.2">
      <c r="B12" s="7"/>
      <c r="C12" s="12"/>
      <c r="D12" s="121"/>
      <c r="E12" s="39"/>
      <c r="F12" s="13"/>
    </row>
    <row r="13" spans="2:7" ht="15.75" customHeight="1" x14ac:dyDescent="0.2">
      <c r="B13" s="124" t="s">
        <v>49</v>
      </c>
      <c r="C13" s="228" t="s">
        <v>287</v>
      </c>
      <c r="D13" s="121"/>
      <c r="E13" s="39"/>
      <c r="F13" s="13"/>
    </row>
    <row r="14" spans="2:7" ht="15.75" customHeight="1" x14ac:dyDescent="0.2">
      <c r="B14" s="7"/>
      <c r="C14" s="12" t="s">
        <v>21</v>
      </c>
      <c r="D14" s="109">
        <v>10400000</v>
      </c>
      <c r="E14" s="39"/>
      <c r="F14" s="13"/>
    </row>
    <row r="15" spans="2:7" ht="15.75" customHeight="1" x14ac:dyDescent="0.2">
      <c r="B15" s="7"/>
      <c r="C15" s="12" t="s">
        <v>288</v>
      </c>
      <c r="D15" s="110">
        <v>30</v>
      </c>
      <c r="E15" s="39"/>
      <c r="F15" s="13"/>
    </row>
    <row r="16" spans="2:7" ht="15.75" customHeight="1" x14ac:dyDescent="0.2">
      <c r="B16" s="7"/>
      <c r="C16" s="12" t="s">
        <v>289</v>
      </c>
      <c r="D16" s="121">
        <v>0.5</v>
      </c>
      <c r="E16" s="39"/>
      <c r="F16" s="13"/>
    </row>
    <row r="17" spans="2:6" ht="15.75" customHeight="1" thickBot="1" x14ac:dyDescent="0.25">
      <c r="B17" s="9"/>
      <c r="C17" s="10"/>
      <c r="D17" s="10"/>
      <c r="E17" s="40"/>
      <c r="F17" s="13"/>
    </row>
    <row r="18" spans="2:6" ht="15.75" customHeight="1" x14ac:dyDescent="0.2"/>
    <row r="19" spans="2:6" ht="15.75" customHeight="1" x14ac:dyDescent="0.2">
      <c r="C19" s="2" t="s">
        <v>2</v>
      </c>
    </row>
    <row r="20" spans="2:6" ht="15.75" customHeight="1" thickBot="1" x14ac:dyDescent="0.25"/>
    <row r="21" spans="2:6" ht="15.75" customHeight="1" x14ac:dyDescent="0.2">
      <c r="B21" s="14"/>
      <c r="C21" s="55"/>
      <c r="D21" s="55"/>
      <c r="E21" s="16"/>
      <c r="F21" s="28"/>
    </row>
    <row r="22" spans="2:6" ht="15.75" customHeight="1" x14ac:dyDescent="0.2">
      <c r="B22" s="123" t="s">
        <v>48</v>
      </c>
      <c r="C22" s="18" t="s">
        <v>286</v>
      </c>
      <c r="D22" s="66">
        <f>D8*D7</f>
        <v>4700000</v>
      </c>
      <c r="E22" s="20"/>
      <c r="F22" s="28"/>
    </row>
    <row r="23" spans="2:6" ht="15.75" customHeight="1" x14ac:dyDescent="0.2">
      <c r="B23" s="17"/>
      <c r="C23" s="18"/>
      <c r="D23" s="18"/>
      <c r="E23" s="20"/>
      <c r="F23" s="28"/>
    </row>
    <row r="24" spans="2:6" ht="15.75" customHeight="1" x14ac:dyDescent="0.25">
      <c r="B24" s="123"/>
      <c r="C24" s="18" t="s">
        <v>18</v>
      </c>
      <c r="D24" s="114">
        <f>-D10+PV(D11,D9,-D22)</f>
        <v>-229284.01704750583</v>
      </c>
      <c r="E24" s="20"/>
      <c r="F24" s="28"/>
    </row>
    <row r="25" spans="2:6" ht="15.75" customHeight="1" x14ac:dyDescent="0.2">
      <c r="B25" s="123"/>
      <c r="C25" s="18"/>
      <c r="D25" s="280"/>
      <c r="E25" s="20"/>
      <c r="F25" s="28"/>
    </row>
    <row r="26" spans="2:6" ht="15.75" customHeight="1" x14ac:dyDescent="0.2">
      <c r="B26" s="123" t="s">
        <v>49</v>
      </c>
      <c r="C26" s="53" t="s">
        <v>290</v>
      </c>
      <c r="D26" s="66">
        <f>D15*D8</f>
        <v>7050000</v>
      </c>
      <c r="E26" s="20"/>
      <c r="F26" s="28"/>
    </row>
    <row r="27" spans="2:6" ht="15.75" customHeight="1" x14ac:dyDescent="0.2">
      <c r="B27" s="123"/>
      <c r="C27" s="53"/>
      <c r="D27" s="281"/>
      <c r="E27" s="20"/>
      <c r="F27" s="28"/>
    </row>
    <row r="28" spans="2:6" ht="15.75" customHeight="1" x14ac:dyDescent="0.2">
      <c r="B28" s="123"/>
      <c r="C28" s="53" t="s">
        <v>291</v>
      </c>
      <c r="D28" s="66">
        <f>PV(D11,D9-1,-0.5*D26)/(1+D11)</f>
        <v>9852361.3115386944</v>
      </c>
      <c r="E28" s="20"/>
      <c r="F28" s="28"/>
    </row>
    <row r="29" spans="2:6" ht="15.75" customHeight="1" x14ac:dyDescent="0.2">
      <c r="B29" s="123"/>
      <c r="C29" s="53"/>
      <c r="D29" s="66"/>
      <c r="E29" s="20"/>
      <c r="F29" s="28"/>
    </row>
    <row r="30" spans="2:6" ht="15.75" customHeight="1" x14ac:dyDescent="0.2">
      <c r="B30" s="123"/>
      <c r="C30" s="53" t="s">
        <v>292</v>
      </c>
      <c r="D30" s="66">
        <f>(D14*D16)/(1+D11)</f>
        <v>4684684.6846846845</v>
      </c>
      <c r="E30" s="20"/>
      <c r="F30" s="28"/>
    </row>
    <row r="31" spans="2:6" ht="15.75" customHeight="1" x14ac:dyDescent="0.2">
      <c r="B31" s="123"/>
      <c r="C31" s="53"/>
      <c r="D31" s="66"/>
      <c r="E31" s="20"/>
      <c r="F31" s="28"/>
    </row>
    <row r="32" spans="2:6" ht="15.75" customHeight="1" x14ac:dyDescent="0.2">
      <c r="B32" s="123"/>
      <c r="C32" s="53" t="s">
        <v>293</v>
      </c>
      <c r="D32" s="66">
        <f>D22/(1+D11)</f>
        <v>4234234.2342342343</v>
      </c>
      <c r="E32" s="20"/>
      <c r="F32" s="28"/>
    </row>
    <row r="33" spans="2:8" ht="15.75" customHeight="1" x14ac:dyDescent="0.2">
      <c r="B33" s="123"/>
      <c r="C33" s="53"/>
      <c r="D33" s="66"/>
      <c r="E33" s="20"/>
      <c r="F33" s="28"/>
    </row>
    <row r="34" spans="2:8" ht="15.75" customHeight="1" x14ac:dyDescent="0.25">
      <c r="B34" s="123"/>
      <c r="C34" s="53" t="s">
        <v>294</v>
      </c>
      <c r="D34" s="114">
        <f>-D10+D28+D30+D32</f>
        <v>1171280.2304576132</v>
      </c>
      <c r="E34" s="20"/>
      <c r="F34" s="28"/>
    </row>
    <row r="35" spans="2:8" ht="15.75" customHeight="1" thickBot="1" x14ac:dyDescent="0.25">
      <c r="B35" s="23"/>
      <c r="C35" s="36"/>
      <c r="D35" s="49"/>
      <c r="E35" s="42"/>
      <c r="F35" s="28"/>
    </row>
    <row r="36" spans="2:8" ht="15.75" customHeight="1" x14ac:dyDescent="0.2">
      <c r="B36" s="28"/>
      <c r="C36" s="33"/>
      <c r="D36" s="34"/>
      <c r="E36" s="35"/>
      <c r="F36" s="32"/>
      <c r="G36" s="32"/>
      <c r="H36" s="28"/>
    </row>
    <row r="37" spans="2:8" ht="15.75" customHeight="1" x14ac:dyDescent="0.2">
      <c r="B37" s="28"/>
      <c r="C37" s="33"/>
      <c r="D37" s="34"/>
      <c r="E37" s="35"/>
      <c r="F37" s="32"/>
      <c r="G37" s="32"/>
      <c r="H37" s="28"/>
    </row>
    <row r="38" spans="2:8" ht="15.75" customHeight="1" x14ac:dyDescent="0.2">
      <c r="B38" s="28"/>
      <c r="C38" s="33"/>
      <c r="D38" s="34"/>
      <c r="E38" s="35"/>
      <c r="F38" s="32"/>
      <c r="G38" s="32"/>
      <c r="H38" s="28"/>
    </row>
    <row r="39" spans="2:8" ht="15.75" customHeight="1" x14ac:dyDescent="0.2">
      <c r="B39" s="28"/>
      <c r="C39" s="28"/>
      <c r="D39" s="28"/>
      <c r="E39" s="28"/>
      <c r="F39" s="28"/>
      <c r="G39" s="28"/>
      <c r="H39" s="28"/>
    </row>
    <row r="40" spans="2:8" ht="15.75" customHeight="1" x14ac:dyDescent="0.2">
      <c r="B40" s="13"/>
      <c r="C40" s="13"/>
      <c r="D40" s="13"/>
      <c r="E40" s="13"/>
      <c r="F40" s="13"/>
      <c r="G40" s="13"/>
      <c r="H40" s="13"/>
    </row>
    <row r="41" spans="2:8" ht="15.75" customHeight="1" x14ac:dyDescent="0.2"/>
    <row r="42" spans="2:8" ht="15.75" customHeight="1" x14ac:dyDescent="0.2">
      <c r="D42" s="26"/>
    </row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20.140625" bestFit="1" customWidth="1"/>
    <col min="5" max="6" width="20.140625" customWidth="1"/>
    <col min="7" max="7" width="3.140625" customWidth="1"/>
    <col min="8" max="10" width="9.140625" customWidth="1"/>
  </cols>
  <sheetData>
    <row r="1" spans="2:9" ht="18" x14ac:dyDescent="0.25">
      <c r="C1" s="1" t="s">
        <v>332</v>
      </c>
    </row>
    <row r="2" spans="2:9" ht="15.75" customHeight="1" x14ac:dyDescent="0.2">
      <c r="C2" s="3" t="s">
        <v>46</v>
      </c>
    </row>
    <row r="3" spans="2:9" ht="15.75" customHeight="1" x14ac:dyDescent="0.2"/>
    <row r="4" spans="2:9" ht="15.75" customHeight="1" x14ac:dyDescent="0.2">
      <c r="C4" s="2" t="s">
        <v>1</v>
      </c>
    </row>
    <row r="5" spans="2:9" ht="15.75" customHeight="1" thickBot="1" x14ac:dyDescent="0.25">
      <c r="I5" s="43"/>
    </row>
    <row r="6" spans="2:9" ht="15.75" customHeight="1" x14ac:dyDescent="0.2">
      <c r="B6" s="4"/>
      <c r="C6" s="5"/>
      <c r="D6" s="5"/>
      <c r="E6" s="5"/>
      <c r="F6" s="5"/>
      <c r="G6" s="38"/>
      <c r="H6" s="13"/>
    </row>
    <row r="7" spans="2:9" ht="15.75" customHeight="1" x14ac:dyDescent="0.2">
      <c r="B7" s="7"/>
      <c r="C7" s="12" t="s">
        <v>234</v>
      </c>
      <c r="D7" s="110">
        <v>6</v>
      </c>
      <c r="E7" s="110"/>
      <c r="F7" s="110"/>
      <c r="G7" s="39"/>
      <c r="H7" s="13"/>
    </row>
    <row r="8" spans="2:9" ht="15.75" customHeight="1" x14ac:dyDescent="0.2">
      <c r="B8" s="7"/>
      <c r="C8" s="12" t="s">
        <v>17</v>
      </c>
      <c r="D8" s="121">
        <v>0.13</v>
      </c>
      <c r="E8" s="121"/>
      <c r="F8" s="121"/>
      <c r="G8" s="39"/>
      <c r="H8" s="13"/>
    </row>
    <row r="9" spans="2:9" ht="15.75" customHeight="1" x14ac:dyDescent="0.2">
      <c r="B9" s="7"/>
      <c r="C9" s="12" t="s">
        <v>7</v>
      </c>
      <c r="D9" s="121">
        <v>0.21</v>
      </c>
      <c r="E9" s="121"/>
      <c r="F9" s="121"/>
      <c r="G9" s="39"/>
      <c r="H9" s="13"/>
    </row>
    <row r="10" spans="2:9" ht="15.75" customHeight="1" x14ac:dyDescent="0.2">
      <c r="B10" s="7"/>
      <c r="C10" s="12"/>
      <c r="D10" s="109"/>
      <c r="E10" s="109"/>
      <c r="F10" s="109"/>
      <c r="G10" s="39"/>
      <c r="H10" s="13"/>
    </row>
    <row r="11" spans="2:9" ht="15.75" customHeight="1" x14ac:dyDescent="0.35">
      <c r="B11" s="7"/>
      <c r="C11" s="12"/>
      <c r="D11" s="282" t="s">
        <v>299</v>
      </c>
      <c r="E11" s="282" t="s">
        <v>300</v>
      </c>
      <c r="F11" s="282" t="s">
        <v>301</v>
      </c>
      <c r="G11" s="39"/>
      <c r="H11" s="13"/>
    </row>
    <row r="12" spans="2:9" ht="15.75" customHeight="1" x14ac:dyDescent="0.2">
      <c r="B12" s="7"/>
      <c r="C12" s="12" t="s">
        <v>295</v>
      </c>
      <c r="D12" s="110">
        <v>110000</v>
      </c>
      <c r="E12" s="110">
        <v>120000</v>
      </c>
      <c r="F12" s="110">
        <v>132000</v>
      </c>
      <c r="G12" s="39"/>
      <c r="H12" s="13"/>
    </row>
    <row r="13" spans="2:9" ht="15.75" customHeight="1" x14ac:dyDescent="0.2">
      <c r="B13" s="7"/>
      <c r="C13" s="12" t="s">
        <v>296</v>
      </c>
      <c r="D13" s="121">
        <v>0.2</v>
      </c>
      <c r="E13" s="121">
        <v>0.23</v>
      </c>
      <c r="F13" s="121">
        <v>0.25</v>
      </c>
      <c r="G13" s="39"/>
      <c r="H13" s="13"/>
    </row>
    <row r="14" spans="2:9" ht="15.75" customHeight="1" x14ac:dyDescent="0.2">
      <c r="B14" s="7"/>
      <c r="C14" s="12" t="s">
        <v>147</v>
      </c>
      <c r="D14" s="109">
        <v>139</v>
      </c>
      <c r="E14" s="109">
        <v>143</v>
      </c>
      <c r="F14" s="109">
        <v>147</v>
      </c>
      <c r="G14" s="39"/>
      <c r="H14" s="13"/>
    </row>
    <row r="15" spans="2:9" ht="15.75" customHeight="1" x14ac:dyDescent="0.2">
      <c r="B15" s="124"/>
      <c r="C15" s="12" t="s">
        <v>297</v>
      </c>
      <c r="D15" s="109">
        <v>77</v>
      </c>
      <c r="E15" s="109">
        <v>73</v>
      </c>
      <c r="F15" s="109">
        <v>70</v>
      </c>
      <c r="G15" s="39"/>
      <c r="H15" s="13"/>
    </row>
    <row r="16" spans="2:9" ht="15.75" customHeight="1" x14ac:dyDescent="0.2">
      <c r="B16" s="7"/>
      <c r="C16" s="12" t="s">
        <v>298</v>
      </c>
      <c r="D16" s="109">
        <v>975000</v>
      </c>
      <c r="E16" s="109">
        <v>920000</v>
      </c>
      <c r="F16" s="109">
        <v>890000</v>
      </c>
      <c r="G16" s="39"/>
      <c r="H16" s="13"/>
    </row>
    <row r="17" spans="2:8" ht="15.75" customHeight="1" x14ac:dyDescent="0.2">
      <c r="B17" s="7"/>
      <c r="C17" s="12" t="s">
        <v>22</v>
      </c>
      <c r="D17" s="109">
        <v>2300000</v>
      </c>
      <c r="E17" s="109">
        <v>2150000</v>
      </c>
      <c r="F17" s="109">
        <v>1950000</v>
      </c>
      <c r="G17" s="39"/>
      <c r="H17" s="13"/>
    </row>
    <row r="18" spans="2:8" ht="15.75" customHeight="1" x14ac:dyDescent="0.2">
      <c r="B18" s="7"/>
      <c r="C18" s="12"/>
      <c r="D18" s="121"/>
      <c r="E18" s="121"/>
      <c r="F18" s="121"/>
      <c r="G18" s="39"/>
      <c r="H18" s="13"/>
    </row>
    <row r="19" spans="2:8" ht="15.75" customHeight="1" thickBot="1" x14ac:dyDescent="0.25">
      <c r="B19" s="9"/>
      <c r="C19" s="10"/>
      <c r="D19" s="10"/>
      <c r="E19" s="10"/>
      <c r="F19" s="10"/>
      <c r="G19" s="40"/>
      <c r="H19" s="13"/>
    </row>
    <row r="20" spans="2:8" ht="15.75" customHeight="1" x14ac:dyDescent="0.2"/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14"/>
      <c r="C23" s="55"/>
      <c r="D23" s="55"/>
      <c r="E23" s="55"/>
      <c r="F23" s="55"/>
      <c r="G23" s="16"/>
      <c r="H23" s="28"/>
    </row>
    <row r="24" spans="2:8" ht="15.75" customHeight="1" x14ac:dyDescent="0.2">
      <c r="B24" s="123"/>
      <c r="C24" s="18"/>
      <c r="D24" s="66"/>
      <c r="E24" s="66"/>
      <c r="F24" s="66"/>
      <c r="G24" s="20"/>
      <c r="H24" s="28"/>
    </row>
    <row r="25" spans="2:8" ht="15.75" customHeight="1" x14ac:dyDescent="0.35">
      <c r="B25" s="17"/>
      <c r="C25" s="164"/>
      <c r="D25" s="283" t="s">
        <v>299</v>
      </c>
      <c r="E25" s="283" t="s">
        <v>300</v>
      </c>
      <c r="F25" s="283" t="s">
        <v>301</v>
      </c>
      <c r="G25" s="20"/>
      <c r="H25" s="28"/>
    </row>
    <row r="26" spans="2:8" ht="15.75" customHeight="1" x14ac:dyDescent="0.2">
      <c r="B26" s="123"/>
      <c r="C26" s="164" t="s">
        <v>302</v>
      </c>
      <c r="D26" s="62">
        <f>D12*D13</f>
        <v>22000</v>
      </c>
      <c r="E26" s="62">
        <f>E12*E13</f>
        <v>27600</v>
      </c>
      <c r="F26" s="62">
        <f>F12*F13</f>
        <v>33000</v>
      </c>
      <c r="G26" s="20"/>
      <c r="H26" s="28"/>
    </row>
    <row r="27" spans="2:8" ht="15.75" customHeight="1" x14ac:dyDescent="0.2">
      <c r="B27" s="123"/>
      <c r="C27" s="164"/>
      <c r="D27" s="66"/>
      <c r="E27" s="66"/>
      <c r="F27" s="66"/>
      <c r="G27" s="20"/>
      <c r="H27" s="28"/>
    </row>
    <row r="28" spans="2:8" ht="15.75" customHeight="1" x14ac:dyDescent="0.2">
      <c r="B28" s="123"/>
      <c r="C28" s="164" t="s">
        <v>303</v>
      </c>
      <c r="D28" s="66">
        <f>D26*D14</f>
        <v>3058000</v>
      </c>
      <c r="E28" s="66">
        <f>E26*E14</f>
        <v>3946800</v>
      </c>
      <c r="F28" s="66">
        <f>F26*F14</f>
        <v>4851000</v>
      </c>
      <c r="G28" s="20"/>
      <c r="H28" s="28"/>
    </row>
    <row r="29" spans="2:8" ht="15.75" customHeight="1" x14ac:dyDescent="0.2">
      <c r="B29" s="123"/>
      <c r="C29" s="164" t="s">
        <v>36</v>
      </c>
      <c r="D29" s="284">
        <f>D26*D15</f>
        <v>1694000</v>
      </c>
      <c r="E29" s="284">
        <f>E26*E15</f>
        <v>2014800</v>
      </c>
      <c r="F29" s="284">
        <f>F26*F15</f>
        <v>2310000</v>
      </c>
      <c r="G29" s="20"/>
      <c r="H29" s="28"/>
    </row>
    <row r="30" spans="2:8" ht="15.75" customHeight="1" x14ac:dyDescent="0.2">
      <c r="B30" s="123"/>
      <c r="C30" s="164" t="s">
        <v>37</v>
      </c>
      <c r="D30" s="284">
        <f>D16</f>
        <v>975000</v>
      </c>
      <c r="E30" s="284">
        <f>E16</f>
        <v>920000</v>
      </c>
      <c r="F30" s="284">
        <f>F16</f>
        <v>890000</v>
      </c>
      <c r="G30" s="20"/>
      <c r="H30" s="28"/>
    </row>
    <row r="31" spans="2:8" ht="15.75" customHeight="1" x14ac:dyDescent="0.2">
      <c r="B31" s="123"/>
      <c r="C31" s="164" t="s">
        <v>6</v>
      </c>
      <c r="D31" s="285">
        <f>D17/$D$7</f>
        <v>383333.33333333331</v>
      </c>
      <c r="E31" s="285">
        <f>E17/$D$7</f>
        <v>358333.33333333331</v>
      </c>
      <c r="F31" s="285">
        <f>F17/$D$7</f>
        <v>325000</v>
      </c>
      <c r="G31" s="20"/>
      <c r="H31" s="28"/>
    </row>
    <row r="32" spans="2:8" ht="15.75" customHeight="1" x14ac:dyDescent="0.2">
      <c r="B32" s="123"/>
      <c r="C32" s="164" t="s">
        <v>269</v>
      </c>
      <c r="D32" s="66">
        <f>D28-D29-D30-D31</f>
        <v>5666.6666666666861</v>
      </c>
      <c r="E32" s="66">
        <f>E28-E29-E30-E31</f>
        <v>653666.66666666674</v>
      </c>
      <c r="F32" s="66">
        <f>F28-F29-F30-F31</f>
        <v>1326000</v>
      </c>
      <c r="G32" s="20"/>
      <c r="H32" s="28"/>
    </row>
    <row r="33" spans="2:10" ht="15.75" customHeight="1" x14ac:dyDescent="0.2">
      <c r="B33" s="123"/>
      <c r="C33" s="164" t="s">
        <v>270</v>
      </c>
      <c r="D33" s="285">
        <f>D32*$D$9</f>
        <v>1190.0000000000041</v>
      </c>
      <c r="E33" s="285">
        <f>E32*$D$9</f>
        <v>137270</v>
      </c>
      <c r="F33" s="285">
        <f>F32*$D$9</f>
        <v>278460</v>
      </c>
      <c r="G33" s="20"/>
      <c r="H33" s="28"/>
    </row>
    <row r="34" spans="2:10" ht="15.75" customHeight="1" x14ac:dyDescent="0.2">
      <c r="B34" s="123"/>
      <c r="C34" s="164" t="s">
        <v>45</v>
      </c>
      <c r="D34" s="66">
        <f>D32-D33</f>
        <v>4476.6666666666824</v>
      </c>
      <c r="E34" s="66">
        <f>E32-E33</f>
        <v>516396.66666666674</v>
      </c>
      <c r="F34" s="66">
        <f>F32-F33</f>
        <v>1047540</v>
      </c>
      <c r="G34" s="20"/>
      <c r="H34" s="28"/>
    </row>
    <row r="35" spans="2:10" ht="15.75" customHeight="1" x14ac:dyDescent="0.2">
      <c r="B35" s="123"/>
      <c r="C35" s="164" t="s">
        <v>9</v>
      </c>
      <c r="D35" s="66">
        <f>D34+D31</f>
        <v>387810</v>
      </c>
      <c r="E35" s="66">
        <f>E34+E31</f>
        <v>874730</v>
      </c>
      <c r="F35" s="66">
        <f>F34+F31</f>
        <v>1372540</v>
      </c>
      <c r="G35" s="20"/>
      <c r="H35" s="28"/>
    </row>
    <row r="36" spans="2:10" ht="15.75" customHeight="1" x14ac:dyDescent="0.2">
      <c r="B36" s="123"/>
      <c r="C36" s="164"/>
      <c r="D36" s="66"/>
      <c r="E36" s="66"/>
      <c r="F36" s="66"/>
      <c r="G36" s="20"/>
      <c r="H36" s="28"/>
    </row>
    <row r="37" spans="2:10" ht="15.75" customHeight="1" x14ac:dyDescent="0.25">
      <c r="B37" s="123"/>
      <c r="C37" s="164" t="s">
        <v>18</v>
      </c>
      <c r="D37" s="114">
        <f>-D17+PV($D$8,$D$7,-D35)</f>
        <v>-749710.21633727849</v>
      </c>
      <c r="E37" s="114">
        <f>-E17+PV($D$8,$D$7,-E35)</f>
        <v>1346776.7269108384</v>
      </c>
      <c r="F37" s="114">
        <f>-F17+PV($D$8,$D$7,-F35)</f>
        <v>3536796.9873609021</v>
      </c>
      <c r="G37" s="20"/>
      <c r="H37" s="28"/>
    </row>
    <row r="38" spans="2:10" ht="15.75" customHeight="1" thickBot="1" x14ac:dyDescent="0.25">
      <c r="B38" s="23"/>
      <c r="C38" s="36"/>
      <c r="D38" s="49"/>
      <c r="E38" s="49"/>
      <c r="F38" s="49"/>
      <c r="G38" s="42"/>
      <c r="H38" s="28"/>
    </row>
    <row r="39" spans="2:10" ht="15.75" customHeight="1" x14ac:dyDescent="0.2">
      <c r="B39" s="28"/>
      <c r="C39" s="33"/>
      <c r="D39" s="34"/>
      <c r="E39" s="34"/>
      <c r="F39" s="34"/>
      <c r="G39" s="35"/>
      <c r="H39" s="32"/>
      <c r="I39" s="32"/>
      <c r="J39" s="28"/>
    </row>
    <row r="40" spans="2:10" ht="15.75" customHeight="1" x14ac:dyDescent="0.2">
      <c r="B40" s="28"/>
      <c r="C40" s="33"/>
      <c r="D40" s="34"/>
      <c r="E40" s="34"/>
      <c r="F40" s="34"/>
      <c r="G40" s="35"/>
      <c r="H40" s="32"/>
      <c r="I40" s="32"/>
      <c r="J40" s="28"/>
    </row>
    <row r="41" spans="2:10" ht="15.75" customHeight="1" x14ac:dyDescent="0.2">
      <c r="B41" s="28"/>
      <c r="C41" s="33"/>
      <c r="D41" s="34"/>
      <c r="E41" s="34"/>
      <c r="F41" s="34"/>
      <c r="G41" s="35"/>
      <c r="H41" s="32"/>
      <c r="I41" s="32"/>
      <c r="J41" s="28"/>
    </row>
    <row r="42" spans="2:10" ht="15.7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</row>
    <row r="43" spans="2:10" ht="15.75" customHeight="1" x14ac:dyDescent="0.2">
      <c r="B43" s="13"/>
      <c r="C43" s="13"/>
      <c r="D43" s="13"/>
      <c r="E43" s="13"/>
      <c r="F43" s="13"/>
      <c r="G43" s="13"/>
      <c r="H43" s="13"/>
      <c r="I43" s="13"/>
      <c r="J43" s="13"/>
    </row>
    <row r="44" spans="2:10" ht="15.75" customHeight="1" x14ac:dyDescent="0.2"/>
    <row r="45" spans="2:10" ht="15.75" customHeight="1" x14ac:dyDescent="0.2">
      <c r="D45" s="26"/>
      <c r="E45" s="26"/>
      <c r="F45" s="26"/>
    </row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5" width="19.42578125" customWidth="1"/>
    <col min="6" max="6" width="3.140625" customWidth="1"/>
    <col min="9" max="9" width="9.140625" customWidth="1"/>
  </cols>
  <sheetData>
    <row r="1" spans="2:5" ht="18" x14ac:dyDescent="0.25">
      <c r="C1" s="1" t="s">
        <v>332</v>
      </c>
    </row>
    <row r="2" spans="2:5" ht="15.75" customHeight="1" x14ac:dyDescent="0.2">
      <c r="C2" s="3" t="s">
        <v>47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4"/>
      <c r="C6" s="5"/>
      <c r="D6" s="5"/>
      <c r="E6" s="6"/>
    </row>
    <row r="7" spans="2:5" ht="15.75" customHeight="1" x14ac:dyDescent="0.2">
      <c r="B7" s="7"/>
      <c r="C7" s="12" t="s">
        <v>38</v>
      </c>
      <c r="D7" s="73">
        <v>26000</v>
      </c>
      <c r="E7" s="8"/>
    </row>
    <row r="8" spans="2:5" ht="15.75" customHeight="1" x14ac:dyDescent="0.2">
      <c r="B8" s="7"/>
      <c r="C8" s="12" t="s">
        <v>22</v>
      </c>
      <c r="D8" s="125">
        <v>2900000</v>
      </c>
      <c r="E8" s="8"/>
    </row>
    <row r="9" spans="2:5" ht="15.75" customHeight="1" x14ac:dyDescent="0.2">
      <c r="B9" s="7"/>
      <c r="C9" s="12" t="s">
        <v>62</v>
      </c>
      <c r="D9" s="73">
        <v>5</v>
      </c>
      <c r="E9" s="8"/>
    </row>
    <row r="10" spans="2:5" ht="15.75" customHeight="1" x14ac:dyDescent="0.2">
      <c r="B10" s="7"/>
      <c r="C10" s="12" t="s">
        <v>37</v>
      </c>
      <c r="D10" s="125">
        <v>345000</v>
      </c>
      <c r="E10" s="8"/>
    </row>
    <row r="11" spans="2:5" ht="15.75" customHeight="1" x14ac:dyDescent="0.2">
      <c r="B11" s="7"/>
      <c r="C11" s="12" t="s">
        <v>36</v>
      </c>
      <c r="D11" s="125">
        <v>295</v>
      </c>
      <c r="E11" s="8"/>
    </row>
    <row r="12" spans="2:5" ht="15.75" customHeight="1" x14ac:dyDescent="0.2">
      <c r="B12" s="7"/>
      <c r="C12" s="12" t="s">
        <v>25</v>
      </c>
      <c r="D12" s="125">
        <v>275000</v>
      </c>
      <c r="E12" s="8"/>
    </row>
    <row r="13" spans="2:5" ht="15.75" customHeight="1" x14ac:dyDescent="0.2">
      <c r="B13" s="7"/>
      <c r="C13" s="12" t="s">
        <v>147</v>
      </c>
      <c r="D13" s="125">
        <v>375</v>
      </c>
      <c r="E13" s="8"/>
    </row>
    <row r="14" spans="2:5" ht="15.75" customHeight="1" x14ac:dyDescent="0.2">
      <c r="B14" s="7"/>
      <c r="C14" s="12" t="s">
        <v>39</v>
      </c>
      <c r="D14" s="65">
        <v>500000</v>
      </c>
      <c r="E14" s="8"/>
    </row>
    <row r="15" spans="2:5" ht="15.75" customHeight="1" x14ac:dyDescent="0.2">
      <c r="B15" s="7"/>
      <c r="C15" s="12" t="s">
        <v>17</v>
      </c>
      <c r="D15" s="121">
        <v>0.13</v>
      </c>
      <c r="E15" s="8"/>
    </row>
    <row r="16" spans="2:5" ht="15.75" customHeight="1" x14ac:dyDescent="0.2">
      <c r="B16" s="7"/>
      <c r="C16" s="12" t="s">
        <v>7</v>
      </c>
      <c r="D16" s="64">
        <v>0.24</v>
      </c>
      <c r="E16" s="8"/>
    </row>
    <row r="17" spans="2:6" ht="15.75" customHeight="1" x14ac:dyDescent="0.2">
      <c r="B17" s="124" t="s">
        <v>49</v>
      </c>
      <c r="C17" s="12" t="s">
        <v>148</v>
      </c>
      <c r="D17" s="121">
        <v>0.15</v>
      </c>
      <c r="E17" s="8"/>
    </row>
    <row r="18" spans="2:6" ht="15.75" customHeight="1" x14ac:dyDescent="0.2">
      <c r="B18" s="7"/>
      <c r="C18" s="12" t="s">
        <v>149</v>
      </c>
      <c r="D18" s="121">
        <v>0.15</v>
      </c>
      <c r="E18" s="8"/>
    </row>
    <row r="19" spans="2:6" ht="15.75" customHeight="1" x14ac:dyDescent="0.2">
      <c r="B19" s="7"/>
      <c r="C19" s="12" t="s">
        <v>80</v>
      </c>
      <c r="D19" s="121">
        <v>0.1</v>
      </c>
      <c r="E19" s="8"/>
    </row>
    <row r="20" spans="2:6" ht="15.75" customHeight="1" x14ac:dyDescent="0.2">
      <c r="B20" s="7"/>
      <c r="C20" s="12" t="s">
        <v>150</v>
      </c>
      <c r="D20" s="121">
        <v>0.05</v>
      </c>
      <c r="E20" s="8"/>
    </row>
    <row r="21" spans="2:6" ht="15.75" customHeight="1" thickBot="1" x14ac:dyDescent="0.25">
      <c r="B21" s="9"/>
      <c r="C21" s="52"/>
      <c r="D21" s="52"/>
      <c r="E21" s="11"/>
    </row>
    <row r="22" spans="2:6" ht="15.75" customHeight="1" x14ac:dyDescent="0.2">
      <c r="B22" s="51"/>
      <c r="F22" s="51"/>
    </row>
    <row r="23" spans="2:6" ht="15.75" customHeight="1" x14ac:dyDescent="0.2">
      <c r="C23" s="2" t="s">
        <v>2</v>
      </c>
    </row>
    <row r="24" spans="2:6" ht="15.75" customHeight="1" thickBot="1" x14ac:dyDescent="0.25"/>
    <row r="25" spans="2:6" ht="15.75" customHeight="1" x14ac:dyDescent="0.2">
      <c r="B25" s="54"/>
      <c r="C25" s="55"/>
      <c r="D25" s="55"/>
      <c r="E25" s="55"/>
      <c r="F25" s="150"/>
    </row>
    <row r="26" spans="2:6" ht="15.75" customHeight="1" x14ac:dyDescent="0.2">
      <c r="B26" s="123" t="s">
        <v>48</v>
      </c>
      <c r="C26" s="18" t="s">
        <v>6</v>
      </c>
      <c r="D26" s="104">
        <f>D8/D9</f>
        <v>580000</v>
      </c>
      <c r="E26" s="18"/>
      <c r="F26" s="151"/>
    </row>
    <row r="27" spans="2:6" ht="15.75" customHeight="1" x14ac:dyDescent="0.2">
      <c r="B27" s="123"/>
      <c r="C27" s="18" t="s">
        <v>21</v>
      </c>
      <c r="D27" s="104">
        <f>D12+((0-D12)*D16)</f>
        <v>209000</v>
      </c>
      <c r="E27" s="18"/>
      <c r="F27" s="151"/>
    </row>
    <row r="28" spans="2:6" ht="15.75" customHeight="1" x14ac:dyDescent="0.25">
      <c r="B28" s="123"/>
      <c r="C28" s="18" t="s">
        <v>9</v>
      </c>
      <c r="D28" s="208">
        <f>((((D13-D11)*D7)-D10)*(1-D16))+(D16*D26)</f>
        <v>1457800</v>
      </c>
      <c r="E28" s="200"/>
      <c r="F28" s="151"/>
    </row>
    <row r="29" spans="2:6" ht="15.75" customHeight="1" x14ac:dyDescent="0.25">
      <c r="B29" s="123"/>
      <c r="C29" s="18" t="s">
        <v>18</v>
      </c>
      <c r="D29" s="127">
        <f>-(D8+D14)+PV(D15,D9,-D28,-D27-D14)</f>
        <v>2112236.5277005611</v>
      </c>
      <c r="E29" s="61"/>
      <c r="F29" s="151"/>
    </row>
    <row r="30" spans="2:6" ht="15.75" customHeight="1" x14ac:dyDescent="0.2">
      <c r="B30" s="123"/>
      <c r="C30" s="18"/>
      <c r="D30" s="117"/>
      <c r="E30" s="61"/>
      <c r="F30" s="151"/>
    </row>
    <row r="31" spans="2:6" ht="15.75" customHeight="1" x14ac:dyDescent="0.2">
      <c r="B31" s="123" t="s">
        <v>49</v>
      </c>
      <c r="C31" s="18"/>
      <c r="D31" s="190" t="s">
        <v>57</v>
      </c>
      <c r="E31" s="201" t="s">
        <v>58</v>
      </c>
      <c r="F31" s="151"/>
    </row>
    <row r="32" spans="2:6" ht="15.75" customHeight="1" x14ac:dyDescent="0.2">
      <c r="B32" s="123"/>
      <c r="C32" s="18" t="s">
        <v>61</v>
      </c>
      <c r="D32" s="104">
        <f>D8*(1-D17)</f>
        <v>2465000</v>
      </c>
      <c r="E32" s="104">
        <f>D8*(1+D17)</f>
        <v>3334999.9999999995</v>
      </c>
      <c r="F32" s="151"/>
    </row>
    <row r="33" spans="2:9" ht="15.75" customHeight="1" x14ac:dyDescent="0.2">
      <c r="B33" s="123"/>
      <c r="C33" s="18" t="s">
        <v>25</v>
      </c>
      <c r="D33" s="104">
        <f>D12*(1+D18)</f>
        <v>316250</v>
      </c>
      <c r="E33" s="104">
        <f>D12*(1-D18)</f>
        <v>233750</v>
      </c>
      <c r="F33" s="151"/>
    </row>
    <row r="34" spans="2:9" ht="15.75" customHeight="1" x14ac:dyDescent="0.2">
      <c r="B34" s="123"/>
      <c r="C34" s="18" t="s">
        <v>90</v>
      </c>
      <c r="D34" s="104">
        <f>D13*(1+D19)</f>
        <v>412.50000000000006</v>
      </c>
      <c r="E34" s="104">
        <f>D13*(1-D19)</f>
        <v>337.5</v>
      </c>
      <c r="F34" s="151"/>
    </row>
    <row r="35" spans="2:9" ht="15.75" customHeight="1" x14ac:dyDescent="0.2">
      <c r="B35" s="123"/>
      <c r="C35" s="18" t="s">
        <v>120</v>
      </c>
      <c r="D35" s="104">
        <f>D14*(1-D20)</f>
        <v>475000</v>
      </c>
      <c r="E35" s="104">
        <f>D14*(1+D20)</f>
        <v>525000</v>
      </c>
      <c r="F35" s="151"/>
    </row>
    <row r="36" spans="2:9" ht="15.75" customHeight="1" x14ac:dyDescent="0.2">
      <c r="B36" s="123"/>
      <c r="C36" s="18" t="s">
        <v>21</v>
      </c>
      <c r="D36" s="104">
        <f>D33+((0-D33)*D16)</f>
        <v>240350</v>
      </c>
      <c r="E36" s="104">
        <f>E33+((0-E33)*D16)</f>
        <v>177650</v>
      </c>
      <c r="F36" s="151"/>
    </row>
    <row r="37" spans="2:9" ht="15.75" customHeight="1" x14ac:dyDescent="0.2">
      <c r="B37" s="123"/>
      <c r="C37" s="18"/>
      <c r="D37" s="117"/>
      <c r="E37" s="62"/>
      <c r="F37" s="151"/>
    </row>
    <row r="38" spans="2:9" ht="15.75" customHeight="1" x14ac:dyDescent="0.2">
      <c r="B38" s="123"/>
      <c r="C38" s="18" t="s">
        <v>100</v>
      </c>
      <c r="D38" s="104">
        <f>((((D34-D11)*D7)-D10)*(1-D16))+(D32/D9*D16)</f>
        <v>2177920.0000000009</v>
      </c>
      <c r="E38" s="62"/>
      <c r="F38" s="151"/>
    </row>
    <row r="39" spans="2:9" ht="15.75" customHeight="1" x14ac:dyDescent="0.25">
      <c r="B39" s="123"/>
      <c r="C39" s="18" t="s">
        <v>151</v>
      </c>
      <c r="D39" s="127">
        <f>-(D32+D35)+PV(D15,D9,-D38,-D36-D35)</f>
        <v>5108511.6293562921</v>
      </c>
      <c r="E39" s="61"/>
      <c r="F39" s="151"/>
    </row>
    <row r="40" spans="2:9" ht="15.75" customHeight="1" x14ac:dyDescent="0.2">
      <c r="B40" s="123"/>
      <c r="C40" s="18"/>
      <c r="D40" s="117"/>
      <c r="E40" s="61"/>
      <c r="F40" s="151"/>
    </row>
    <row r="41" spans="2:9" ht="15.75" customHeight="1" x14ac:dyDescent="0.2">
      <c r="B41" s="123"/>
      <c r="C41" s="18" t="s">
        <v>103</v>
      </c>
      <c r="D41" s="202">
        <f>((((E34-D11)*D7)-D10)*(1-D16))+(E32/D9*D16)</f>
        <v>737680</v>
      </c>
      <c r="E41" s="120"/>
      <c r="F41" s="151"/>
    </row>
    <row r="42" spans="2:9" ht="15.75" customHeight="1" x14ac:dyDescent="0.25">
      <c r="B42" s="123"/>
      <c r="C42" s="18" t="s">
        <v>104</v>
      </c>
      <c r="D42" s="168">
        <f>-(E32+E35)+PV(D15,D9,-D41,-E35-E36)</f>
        <v>-884038.57395516615</v>
      </c>
      <c r="E42" s="75"/>
      <c r="F42" s="151"/>
    </row>
    <row r="43" spans="2:9" ht="15.75" customHeight="1" thickBot="1" x14ac:dyDescent="0.25">
      <c r="B43" s="57"/>
      <c r="C43" s="48"/>
      <c r="D43" s="48"/>
      <c r="E43" s="48"/>
      <c r="F43" s="152"/>
    </row>
    <row r="44" spans="2:9" ht="15.75" customHeight="1" x14ac:dyDescent="0.2">
      <c r="B44" s="13"/>
      <c r="F44" s="13"/>
      <c r="G44" s="13"/>
      <c r="H44" s="13"/>
      <c r="I44" s="13"/>
    </row>
    <row r="45" spans="2:9" ht="15.75" customHeight="1" x14ac:dyDescent="0.2">
      <c r="D45" s="26"/>
      <c r="E45" s="26"/>
    </row>
    <row r="46" spans="2:9" ht="15.75" customHeight="1" x14ac:dyDescent="0.2"/>
    <row r="47" spans="2:9" ht="15.75" customHeight="1" x14ac:dyDescent="0.2"/>
    <row r="48" spans="2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9.42578125" customWidth="1"/>
    <col min="5" max="5" width="3.140625" customWidth="1"/>
    <col min="8" max="8" width="9.140625" customWidth="1"/>
  </cols>
  <sheetData>
    <row r="1" spans="2:5" ht="18" x14ac:dyDescent="0.25">
      <c r="C1" s="1" t="s">
        <v>332</v>
      </c>
    </row>
    <row r="2" spans="2:5" ht="15.75" customHeight="1" x14ac:dyDescent="0.2">
      <c r="C2" s="3" t="s">
        <v>51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4"/>
      <c r="C6" s="5"/>
      <c r="D6" s="5"/>
      <c r="E6" s="38"/>
    </row>
    <row r="7" spans="2:5" ht="15.75" customHeight="1" x14ac:dyDescent="0.2">
      <c r="B7" s="7"/>
      <c r="C7" s="12" t="s">
        <v>38</v>
      </c>
      <c r="D7" s="113">
        <f>'#26'!D7</f>
        <v>26000</v>
      </c>
      <c r="E7" s="39"/>
    </row>
    <row r="8" spans="2:5" ht="15.75" customHeight="1" x14ac:dyDescent="0.2">
      <c r="B8" s="7"/>
      <c r="C8" s="12" t="s">
        <v>22</v>
      </c>
      <c r="D8" s="203">
        <f>'#26'!D8</f>
        <v>2900000</v>
      </c>
      <c r="E8" s="39"/>
    </row>
    <row r="9" spans="2:5" ht="15.75" customHeight="1" x14ac:dyDescent="0.2">
      <c r="B9" s="7"/>
      <c r="C9" s="12" t="s">
        <v>62</v>
      </c>
      <c r="D9" s="113">
        <f>'#26'!D9</f>
        <v>5</v>
      </c>
      <c r="E9" s="39"/>
    </row>
    <row r="10" spans="2:5" ht="15.75" customHeight="1" x14ac:dyDescent="0.2">
      <c r="B10" s="7"/>
      <c r="C10" s="12" t="s">
        <v>37</v>
      </c>
      <c r="D10" s="203">
        <f>'#26'!D10</f>
        <v>345000</v>
      </c>
      <c r="E10" s="39"/>
    </row>
    <row r="11" spans="2:5" ht="15.75" customHeight="1" x14ac:dyDescent="0.2">
      <c r="B11" s="7"/>
      <c r="C11" s="12" t="s">
        <v>36</v>
      </c>
      <c r="D11" s="203">
        <f>'#26'!D11</f>
        <v>295</v>
      </c>
      <c r="E11" s="39"/>
    </row>
    <row r="12" spans="2:5" ht="15.75" customHeight="1" x14ac:dyDescent="0.2">
      <c r="B12" s="7"/>
      <c r="C12" s="12" t="s">
        <v>25</v>
      </c>
      <c r="D12" s="203">
        <f>'#26'!D12</f>
        <v>275000</v>
      </c>
      <c r="E12" s="39"/>
    </row>
    <row r="13" spans="2:5" ht="15.75" customHeight="1" x14ac:dyDescent="0.2">
      <c r="B13" s="7"/>
      <c r="C13" s="12" t="s">
        <v>147</v>
      </c>
      <c r="D13" s="203">
        <f>'#26'!D13</f>
        <v>375</v>
      </c>
      <c r="E13" s="39"/>
    </row>
    <row r="14" spans="2:5" ht="15.75" customHeight="1" x14ac:dyDescent="0.2">
      <c r="B14" s="7"/>
      <c r="C14" s="12" t="s">
        <v>39</v>
      </c>
      <c r="D14" s="112">
        <f>'#26'!D14</f>
        <v>500000</v>
      </c>
      <c r="E14" s="39"/>
    </row>
    <row r="15" spans="2:5" ht="15.75" customHeight="1" x14ac:dyDescent="0.2">
      <c r="B15" s="7"/>
      <c r="C15" s="12" t="s">
        <v>17</v>
      </c>
      <c r="D15" s="204">
        <f>'#26'!D15</f>
        <v>0.13</v>
      </c>
      <c r="E15" s="39"/>
    </row>
    <row r="16" spans="2:5" ht="15.75" customHeight="1" x14ac:dyDescent="0.2">
      <c r="B16" s="7"/>
      <c r="C16" s="12" t="s">
        <v>7</v>
      </c>
      <c r="D16" s="115">
        <f>'#26'!D16</f>
        <v>0.24</v>
      </c>
      <c r="E16" s="39"/>
    </row>
    <row r="17" spans="2:5" ht="15.75" customHeight="1" x14ac:dyDescent="0.2">
      <c r="B17" s="124"/>
      <c r="C17" s="12" t="s">
        <v>70</v>
      </c>
      <c r="D17" s="110">
        <v>27000</v>
      </c>
      <c r="E17" s="39"/>
    </row>
    <row r="18" spans="2:5" ht="15.75" customHeight="1" thickBot="1" x14ac:dyDescent="0.25">
      <c r="B18" s="9"/>
      <c r="C18" s="52"/>
      <c r="D18" s="52"/>
      <c r="E18" s="207"/>
    </row>
    <row r="19" spans="2:5" ht="15.75" customHeight="1" x14ac:dyDescent="0.2">
      <c r="B19" s="51"/>
      <c r="E19" s="51"/>
    </row>
    <row r="20" spans="2:5" ht="15.75" customHeight="1" x14ac:dyDescent="0.2">
      <c r="C20" s="2" t="s">
        <v>2</v>
      </c>
    </row>
    <row r="21" spans="2:5" ht="15.75" customHeight="1" thickBot="1" x14ac:dyDescent="0.25"/>
    <row r="22" spans="2:5" ht="15.75" customHeight="1" x14ac:dyDescent="0.2">
      <c r="B22" s="54"/>
      <c r="C22" s="55"/>
      <c r="D22" s="55"/>
      <c r="E22" s="150"/>
    </row>
    <row r="23" spans="2:5" ht="15.75" customHeight="1" x14ac:dyDescent="0.2">
      <c r="B23" s="123"/>
      <c r="C23" s="18" t="s">
        <v>6</v>
      </c>
      <c r="D23" s="104">
        <f>D8/D9</f>
        <v>580000</v>
      </c>
      <c r="E23" s="151"/>
    </row>
    <row r="24" spans="2:5" ht="15.75" customHeight="1" x14ac:dyDescent="0.2">
      <c r="B24" s="123"/>
      <c r="C24" s="18" t="s">
        <v>21</v>
      </c>
      <c r="D24" s="104">
        <f>D12+((0-D12)*D16)</f>
        <v>209000</v>
      </c>
      <c r="E24" s="151"/>
    </row>
    <row r="25" spans="2:5" ht="15.75" customHeight="1" x14ac:dyDescent="0.2">
      <c r="B25" s="123"/>
      <c r="C25" s="18"/>
      <c r="D25" s="104"/>
      <c r="E25" s="151"/>
    </row>
    <row r="26" spans="2:5" ht="15.75" customHeight="1" x14ac:dyDescent="0.2">
      <c r="B26" s="123"/>
      <c r="C26" s="18" t="s">
        <v>91</v>
      </c>
      <c r="D26" s="304">
        <f>D7</f>
        <v>26000</v>
      </c>
      <c r="E26" s="151"/>
    </row>
    <row r="27" spans="2:5" ht="15.75" customHeight="1" x14ac:dyDescent="0.2">
      <c r="B27" s="123"/>
      <c r="C27" s="18" t="s">
        <v>9</v>
      </c>
      <c r="D27" s="305">
        <f>(((($D$13-$D$11)*$D$7)-$D$10)*(1-$D$16))+($D$16*$D$23)</f>
        <v>1457800</v>
      </c>
      <c r="E27" s="151"/>
    </row>
    <row r="28" spans="2:5" ht="15.75" customHeight="1" x14ac:dyDescent="0.2">
      <c r="B28" s="123"/>
      <c r="C28" s="18" t="s">
        <v>18</v>
      </c>
      <c r="D28" s="306">
        <f>-($D$8+$D$14)+PV($D$15,$D$9,-D27,-$D$24-$D$14)</f>
        <v>2112236.5277005611</v>
      </c>
      <c r="E28" s="151"/>
    </row>
    <row r="29" spans="2:5" ht="15.75" customHeight="1" x14ac:dyDescent="0.2">
      <c r="B29" s="123"/>
      <c r="C29" s="18"/>
      <c r="D29" s="307"/>
      <c r="E29" s="151"/>
    </row>
    <row r="30" spans="2:5" ht="15.75" customHeight="1" x14ac:dyDescent="0.2">
      <c r="B30" s="123"/>
      <c r="C30" s="18" t="s">
        <v>91</v>
      </c>
      <c r="D30" s="308">
        <f>D17</f>
        <v>27000</v>
      </c>
      <c r="E30" s="151"/>
    </row>
    <row r="31" spans="2:5" ht="15.75" customHeight="1" x14ac:dyDescent="0.2">
      <c r="B31" s="123"/>
      <c r="C31" s="18" t="s">
        <v>9</v>
      </c>
      <c r="D31" s="206">
        <f>(((($D$13-$D$11)*D17)-$D$10)*(1-$D$16))+($D$16*$D$23)</f>
        <v>1518600</v>
      </c>
      <c r="E31" s="151"/>
    </row>
    <row r="32" spans="2:5" ht="15.75" customHeight="1" x14ac:dyDescent="0.2">
      <c r="B32" s="123"/>
      <c r="C32" s="18" t="s">
        <v>18</v>
      </c>
      <c r="D32" s="137">
        <f>-($D$8+$D$14)+PV($D$15,$D$9,-D31,-$D$24-$D$14)</f>
        <v>2326084.1884023584</v>
      </c>
      <c r="E32" s="151"/>
    </row>
    <row r="33" spans="2:8" ht="15.75" customHeight="1" x14ac:dyDescent="0.2">
      <c r="B33" s="123"/>
      <c r="C33" s="18"/>
      <c r="D33" s="104"/>
      <c r="E33" s="151"/>
    </row>
    <row r="34" spans="2:8" ht="15.75" customHeight="1" x14ac:dyDescent="0.25">
      <c r="B34" s="123"/>
      <c r="C34" s="158" t="s">
        <v>95</v>
      </c>
      <c r="D34" s="133">
        <f>(D31-D27)/(D17-D7)</f>
        <v>60.8</v>
      </c>
      <c r="E34" s="151"/>
    </row>
    <row r="35" spans="2:8" ht="15.75" customHeight="1" x14ac:dyDescent="0.25">
      <c r="B35" s="123"/>
      <c r="C35" s="158" t="s">
        <v>71</v>
      </c>
      <c r="D35" s="133">
        <f>(D32-D28)/(D17-D7)</f>
        <v>213.84766070179734</v>
      </c>
      <c r="E35" s="151"/>
    </row>
    <row r="36" spans="2:8" ht="15.75" customHeight="1" x14ac:dyDescent="0.2">
      <c r="B36" s="123"/>
      <c r="C36" s="18"/>
      <c r="D36" s="117"/>
      <c r="E36" s="151"/>
    </row>
    <row r="37" spans="2:8" ht="15.75" customHeight="1" x14ac:dyDescent="0.2">
      <c r="B37" s="123"/>
      <c r="C37" s="18" t="s">
        <v>155</v>
      </c>
      <c r="D37" s="104"/>
      <c r="E37" s="151"/>
    </row>
    <row r="38" spans="2:8" ht="15.75" customHeight="1" x14ac:dyDescent="0.2">
      <c r="B38" s="123"/>
      <c r="C38" s="18" t="s">
        <v>154</v>
      </c>
      <c r="D38" s="104"/>
      <c r="E38" s="151"/>
    </row>
    <row r="39" spans="2:8" ht="15.75" customHeight="1" x14ac:dyDescent="0.25">
      <c r="B39" s="123"/>
      <c r="C39" s="158" t="s">
        <v>152</v>
      </c>
      <c r="D39" s="205">
        <f>D28/D35</f>
        <v>9877.2954577510991</v>
      </c>
      <c r="E39" s="151"/>
    </row>
    <row r="40" spans="2:8" ht="15.75" customHeight="1" x14ac:dyDescent="0.25">
      <c r="B40" s="123"/>
      <c r="C40" s="18" t="s">
        <v>153</v>
      </c>
      <c r="D40" s="132">
        <f>D7-D39</f>
        <v>16122.704542248901</v>
      </c>
      <c r="E40" s="151"/>
    </row>
    <row r="41" spans="2:8" ht="15.75" customHeight="1" thickBot="1" x14ac:dyDescent="0.25">
      <c r="B41" s="57"/>
      <c r="C41" s="48"/>
      <c r="D41" s="48"/>
      <c r="E41" s="152"/>
    </row>
    <row r="42" spans="2:8" ht="15.75" customHeight="1" x14ac:dyDescent="0.2">
      <c r="B42" s="13"/>
      <c r="E42" s="13"/>
      <c r="F42" s="13"/>
      <c r="G42" s="13"/>
      <c r="H42" s="13"/>
    </row>
    <row r="43" spans="2:8" ht="15.75" customHeight="1" x14ac:dyDescent="0.2">
      <c r="D43" s="26"/>
    </row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28515625" customWidth="1"/>
    <col min="4" max="4" width="17.85546875" customWidth="1"/>
    <col min="5" max="5" width="18.140625" customWidth="1"/>
    <col min="6" max="6" width="17.7109375" customWidth="1"/>
    <col min="7" max="7" width="18.28515625" customWidth="1"/>
    <col min="8" max="8" width="18.140625" customWidth="1"/>
    <col min="9" max="9" width="3.140625" customWidth="1"/>
  </cols>
  <sheetData>
    <row r="1" spans="1:10" ht="18" x14ac:dyDescent="0.25">
      <c r="A1" s="3"/>
      <c r="B1" s="3"/>
      <c r="C1" s="1" t="s">
        <v>332</v>
      </c>
      <c r="D1" s="3"/>
      <c r="E1" s="3"/>
      <c r="F1" s="3"/>
      <c r="G1" s="3"/>
      <c r="H1" s="3"/>
      <c r="I1" s="3"/>
    </row>
    <row r="2" spans="1:10" ht="15.75" customHeight="1" x14ac:dyDescent="0.2">
      <c r="A2" s="3"/>
      <c r="B2" s="3"/>
      <c r="C2" s="3" t="s">
        <v>156</v>
      </c>
      <c r="D2" s="3"/>
      <c r="E2" s="3"/>
      <c r="F2" s="3"/>
      <c r="G2" s="3"/>
      <c r="H2" s="3"/>
      <c r="I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ht="15.75" customHeight="1" x14ac:dyDescent="0.2">
      <c r="A4" s="3"/>
      <c r="B4" s="3"/>
      <c r="C4" s="2" t="s">
        <v>162</v>
      </c>
      <c r="D4" s="3"/>
      <c r="E4" s="3"/>
      <c r="F4" s="3"/>
      <c r="G4" s="3"/>
      <c r="H4" s="3"/>
      <c r="I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0" ht="15.75" customHeight="1" x14ac:dyDescent="0.2">
      <c r="A6" s="3"/>
      <c r="B6" s="91"/>
      <c r="C6" s="93"/>
      <c r="D6" s="216"/>
      <c r="E6" s="94"/>
      <c r="F6" s="3"/>
      <c r="G6" s="3"/>
      <c r="H6" s="3"/>
      <c r="I6" s="3"/>
      <c r="J6" s="3"/>
    </row>
    <row r="7" spans="1:10" ht="15.75" customHeight="1" x14ac:dyDescent="0.2">
      <c r="A7" s="3"/>
      <c r="B7" s="95"/>
      <c r="C7" s="96" t="s">
        <v>260</v>
      </c>
      <c r="D7" s="217">
        <v>4</v>
      </c>
      <c r="E7" s="97"/>
      <c r="F7" s="3"/>
      <c r="G7" s="3"/>
      <c r="H7" s="3"/>
      <c r="I7" s="3"/>
      <c r="J7" s="3"/>
    </row>
    <row r="8" spans="1:10" ht="15.75" customHeight="1" x14ac:dyDescent="0.2">
      <c r="A8" s="3"/>
      <c r="B8" s="95"/>
      <c r="C8" s="96" t="s">
        <v>22</v>
      </c>
      <c r="D8" s="125">
        <v>18000000</v>
      </c>
      <c r="E8" s="97"/>
      <c r="F8" s="3"/>
      <c r="G8" s="3"/>
      <c r="H8" s="3"/>
      <c r="I8" s="3"/>
      <c r="J8" s="3"/>
    </row>
    <row r="9" spans="1:10" ht="15.75" customHeight="1" x14ac:dyDescent="0.2">
      <c r="A9" s="3"/>
      <c r="B9" s="95"/>
      <c r="C9" s="96" t="s">
        <v>39</v>
      </c>
      <c r="D9" s="125">
        <v>950000</v>
      </c>
      <c r="E9" s="97"/>
      <c r="F9" s="3"/>
      <c r="G9" s="3"/>
      <c r="H9" s="3"/>
      <c r="I9" s="3"/>
      <c r="J9" s="3"/>
    </row>
    <row r="10" spans="1:10" ht="15.75" customHeight="1" x14ac:dyDescent="0.2">
      <c r="A10" s="3"/>
      <c r="B10" s="95"/>
      <c r="C10" s="96" t="s">
        <v>258</v>
      </c>
      <c r="D10" s="125">
        <v>12400000</v>
      </c>
      <c r="E10" s="97"/>
      <c r="F10" s="3"/>
      <c r="G10" s="3"/>
      <c r="H10" s="3"/>
      <c r="I10" s="3"/>
      <c r="J10" s="3"/>
    </row>
    <row r="11" spans="1:10" ht="15.75" customHeight="1" x14ac:dyDescent="0.2">
      <c r="A11" s="3"/>
      <c r="B11" s="95"/>
      <c r="C11" s="96" t="s">
        <v>259</v>
      </c>
      <c r="D11" s="125">
        <v>4500000</v>
      </c>
      <c r="E11" s="97"/>
      <c r="F11" s="3"/>
      <c r="G11" s="3"/>
      <c r="H11" s="3"/>
      <c r="I11" s="3"/>
      <c r="J11" s="3"/>
    </row>
    <row r="12" spans="1:10" ht="15.75" customHeight="1" x14ac:dyDescent="0.2">
      <c r="A12" s="3"/>
      <c r="B12" s="95"/>
      <c r="C12" s="96" t="s">
        <v>7</v>
      </c>
      <c r="D12" s="177">
        <v>0.21</v>
      </c>
      <c r="E12" s="97"/>
      <c r="F12" s="3"/>
      <c r="G12" s="3"/>
      <c r="H12" s="3"/>
      <c r="I12" s="3"/>
      <c r="J12" s="3"/>
    </row>
    <row r="13" spans="1:10" ht="15.75" customHeight="1" x14ac:dyDescent="0.2">
      <c r="A13" s="3"/>
      <c r="B13" s="95"/>
      <c r="C13" s="96" t="s">
        <v>177</v>
      </c>
      <c r="D13" s="121">
        <v>0.13</v>
      </c>
      <c r="E13" s="97"/>
      <c r="F13" s="3"/>
      <c r="G13" s="3"/>
      <c r="H13" s="3"/>
      <c r="I13" s="3"/>
      <c r="J13" s="3"/>
    </row>
    <row r="14" spans="1:10" ht="15.75" customHeight="1" x14ac:dyDescent="0.2">
      <c r="A14" s="3"/>
      <c r="B14" s="95"/>
      <c r="C14" s="96"/>
      <c r="D14" s="258" t="s">
        <v>25</v>
      </c>
      <c r="E14" s="97"/>
      <c r="F14" s="3"/>
      <c r="G14" s="3"/>
      <c r="H14" s="3"/>
      <c r="I14" s="3"/>
      <c r="J14" s="3"/>
    </row>
    <row r="15" spans="1:10" ht="15.75" customHeight="1" x14ac:dyDescent="0.2">
      <c r="A15" s="3"/>
      <c r="B15" s="95"/>
      <c r="C15" s="96" t="s">
        <v>261</v>
      </c>
      <c r="D15" s="125">
        <v>15000000</v>
      </c>
      <c r="E15" s="97"/>
      <c r="F15" s="3"/>
      <c r="G15" s="3"/>
      <c r="H15" s="3"/>
      <c r="I15" s="3"/>
      <c r="J15" s="3"/>
    </row>
    <row r="16" spans="1:10" ht="15.75" customHeight="1" x14ac:dyDescent="0.2">
      <c r="A16" s="3"/>
      <c r="B16" s="95"/>
      <c r="C16" s="96" t="s">
        <v>262</v>
      </c>
      <c r="D16" s="125">
        <v>11000000</v>
      </c>
      <c r="E16" s="97"/>
      <c r="F16" s="3"/>
      <c r="G16" s="3"/>
      <c r="H16" s="3"/>
      <c r="I16" s="3"/>
      <c r="J16" s="3"/>
    </row>
    <row r="17" spans="1:10" ht="15.75" customHeight="1" x14ac:dyDescent="0.2">
      <c r="A17" s="3"/>
      <c r="B17" s="95"/>
      <c r="C17" s="96" t="s">
        <v>263</v>
      </c>
      <c r="D17" s="125">
        <v>8500000</v>
      </c>
      <c r="E17" s="97"/>
      <c r="F17" s="3"/>
      <c r="G17" s="3"/>
      <c r="H17" s="3"/>
      <c r="I17" s="3"/>
      <c r="J17" s="3"/>
    </row>
    <row r="18" spans="1:10" ht="15.75" customHeight="1" x14ac:dyDescent="0.2">
      <c r="A18" s="3"/>
      <c r="B18" s="95"/>
      <c r="C18" s="96" t="s">
        <v>264</v>
      </c>
      <c r="D18" s="125">
        <v>0</v>
      </c>
      <c r="E18" s="97"/>
      <c r="F18" s="3"/>
      <c r="G18" s="3"/>
      <c r="H18" s="3"/>
      <c r="I18" s="3"/>
      <c r="J18" s="3"/>
    </row>
    <row r="19" spans="1:10" ht="15.75" customHeight="1" thickBot="1" x14ac:dyDescent="0.25">
      <c r="A19" s="3"/>
      <c r="B19" s="98"/>
      <c r="C19" s="99"/>
      <c r="D19" s="218"/>
      <c r="E19" s="40"/>
      <c r="F19" s="3"/>
      <c r="G19" s="3"/>
      <c r="H19" s="3"/>
      <c r="I19" s="3"/>
      <c r="J19" s="3"/>
    </row>
    <row r="20" spans="1:10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10" ht="15.75" customHeight="1" x14ac:dyDescent="0.2">
      <c r="A21" s="3"/>
      <c r="B21" s="3"/>
      <c r="C21" s="2" t="s">
        <v>167</v>
      </c>
      <c r="D21" s="3"/>
      <c r="E21" s="3"/>
      <c r="F21" s="3"/>
      <c r="G21" s="3"/>
      <c r="H21" s="3"/>
      <c r="I21" s="3"/>
    </row>
    <row r="22" spans="1:10" ht="15.75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10" ht="15.75" customHeight="1" x14ac:dyDescent="0.2">
      <c r="A23" s="3"/>
      <c r="B23" s="100"/>
      <c r="C23" s="101"/>
      <c r="D23" s="219"/>
      <c r="E23" s="101"/>
      <c r="F23" s="101"/>
      <c r="G23" s="101"/>
      <c r="H23" s="101"/>
      <c r="I23" s="58"/>
    </row>
    <row r="24" spans="1:10" ht="15.75" customHeight="1" x14ac:dyDescent="0.2">
      <c r="A24" s="3"/>
      <c r="B24" s="102"/>
      <c r="C24" s="235" t="s">
        <v>265</v>
      </c>
      <c r="D24" s="259"/>
      <c r="E24" s="53"/>
      <c r="F24" s="53"/>
      <c r="G24" s="53"/>
      <c r="H24" s="53"/>
      <c r="I24" s="105"/>
    </row>
    <row r="25" spans="1:10" ht="15.75" customHeight="1" x14ac:dyDescent="0.2">
      <c r="A25" s="3"/>
      <c r="B25" s="102"/>
      <c r="C25" s="53" t="s">
        <v>266</v>
      </c>
      <c r="D25" s="200">
        <v>0</v>
      </c>
      <c r="E25" s="200">
        <v>1</v>
      </c>
      <c r="F25" s="200">
        <v>2</v>
      </c>
      <c r="G25" s="200">
        <v>3</v>
      </c>
      <c r="H25" s="200">
        <v>4</v>
      </c>
      <c r="I25" s="105"/>
    </row>
    <row r="26" spans="1:10" ht="15.75" customHeight="1" x14ac:dyDescent="0.2">
      <c r="A26" s="3"/>
      <c r="B26" s="102"/>
      <c r="C26" s="53" t="s">
        <v>267</v>
      </c>
      <c r="D26" s="200"/>
      <c r="E26" s="206">
        <f>$D$10</f>
        <v>12400000</v>
      </c>
      <c r="F26" s="206">
        <f>$D$10</f>
        <v>12400000</v>
      </c>
      <c r="G26" s="206">
        <f>$D$10</f>
        <v>12400000</v>
      </c>
      <c r="H26" s="206">
        <f>$D$10</f>
        <v>12400000</v>
      </c>
      <c r="I26" s="105"/>
    </row>
    <row r="27" spans="1:10" ht="15.75" customHeight="1" x14ac:dyDescent="0.2">
      <c r="A27" s="3"/>
      <c r="B27" s="102"/>
      <c r="C27" s="53" t="s">
        <v>268</v>
      </c>
      <c r="D27" s="200"/>
      <c r="E27" s="260">
        <f>$D$11</f>
        <v>4500000</v>
      </c>
      <c r="F27" s="260">
        <f>$D$11</f>
        <v>4500000</v>
      </c>
      <c r="G27" s="260">
        <f>$D$11</f>
        <v>4500000</v>
      </c>
      <c r="H27" s="260">
        <f>$D$11</f>
        <v>4500000</v>
      </c>
      <c r="I27" s="105"/>
    </row>
    <row r="28" spans="1:10" ht="15.75" customHeight="1" x14ac:dyDescent="0.2">
      <c r="A28" s="3"/>
      <c r="B28" s="102"/>
      <c r="C28" s="53" t="s">
        <v>6</v>
      </c>
      <c r="D28" s="200"/>
      <c r="E28" s="309">
        <f>$D$8/$D$7</f>
        <v>4500000</v>
      </c>
      <c r="F28" s="309">
        <f>$D$8/$D$7</f>
        <v>4500000</v>
      </c>
      <c r="G28" s="309">
        <f>$D$8/$D$7</f>
        <v>4500000</v>
      </c>
      <c r="H28" s="309">
        <f>$D$8/$D$7</f>
        <v>4500000</v>
      </c>
      <c r="I28" s="105"/>
    </row>
    <row r="29" spans="1:10" ht="15.75" customHeight="1" x14ac:dyDescent="0.2">
      <c r="A29" s="3"/>
      <c r="B29" s="102"/>
      <c r="C29" s="53" t="s">
        <v>269</v>
      </c>
      <c r="D29" s="200"/>
      <c r="E29" s="206">
        <f>E26-E27-E28</f>
        <v>3400000</v>
      </c>
      <c r="F29" s="206">
        <f>F26-F27-F28</f>
        <v>3400000</v>
      </c>
      <c r="G29" s="206">
        <f>G26-G27-G28</f>
        <v>3400000</v>
      </c>
      <c r="H29" s="206">
        <f>H26-H27-H28</f>
        <v>3400000</v>
      </c>
      <c r="I29" s="105"/>
    </row>
    <row r="30" spans="1:10" ht="15.75" customHeight="1" x14ac:dyDescent="0.2">
      <c r="A30" s="3"/>
      <c r="B30" s="102"/>
      <c r="C30" s="53" t="s">
        <v>270</v>
      </c>
      <c r="D30" s="200"/>
      <c r="E30" s="309">
        <f>E29*$D$12</f>
        <v>714000</v>
      </c>
      <c r="F30" s="309">
        <f>F29*$D$12</f>
        <v>714000</v>
      </c>
      <c r="G30" s="309">
        <f>G29*$D$12</f>
        <v>714000</v>
      </c>
      <c r="H30" s="309">
        <f>H29*$D$12</f>
        <v>714000</v>
      </c>
      <c r="I30" s="105"/>
    </row>
    <row r="31" spans="1:10" ht="15.75" customHeight="1" x14ac:dyDescent="0.2">
      <c r="A31" s="3"/>
      <c r="B31" s="102"/>
      <c r="C31" s="53" t="s">
        <v>45</v>
      </c>
      <c r="D31" s="117"/>
      <c r="E31" s="61">
        <f>E29-E30</f>
        <v>2686000</v>
      </c>
      <c r="F31" s="61">
        <f>F29-F30</f>
        <v>2686000</v>
      </c>
      <c r="G31" s="61">
        <f>G29-G30</f>
        <v>2686000</v>
      </c>
      <c r="H31" s="61">
        <f>H29-H30</f>
        <v>2686000</v>
      </c>
      <c r="I31" s="105"/>
    </row>
    <row r="32" spans="1:10" ht="15.75" customHeight="1" x14ac:dyDescent="0.2">
      <c r="A32" s="3"/>
      <c r="B32" s="102"/>
      <c r="C32" s="261" t="s">
        <v>271</v>
      </c>
      <c r="D32" s="160"/>
      <c r="E32" s="262">
        <f>E28</f>
        <v>4500000</v>
      </c>
      <c r="F32" s="262">
        <f t="shared" ref="F32:H32" si="0">F28</f>
        <v>4500000</v>
      </c>
      <c r="G32" s="262">
        <f t="shared" si="0"/>
        <v>4500000</v>
      </c>
      <c r="H32" s="262">
        <f t="shared" si="0"/>
        <v>4500000</v>
      </c>
      <c r="I32" s="105"/>
    </row>
    <row r="33" spans="1:9" ht="15.75" customHeight="1" x14ac:dyDescent="0.2">
      <c r="A33" s="3"/>
      <c r="B33" s="102"/>
      <c r="C33" s="53" t="s">
        <v>272</v>
      </c>
      <c r="D33" s="117"/>
      <c r="E33" s="61">
        <f>E31+E32</f>
        <v>7186000</v>
      </c>
      <c r="F33" s="61">
        <f>F31+F32</f>
        <v>7186000</v>
      </c>
      <c r="G33" s="61">
        <f>G31+G32</f>
        <v>7186000</v>
      </c>
      <c r="H33" s="61">
        <f>H31+H32</f>
        <v>7186000</v>
      </c>
      <c r="I33" s="105"/>
    </row>
    <row r="34" spans="1:9" ht="15.75" customHeight="1" x14ac:dyDescent="0.2">
      <c r="A34" s="3"/>
      <c r="B34" s="102"/>
      <c r="C34" s="53"/>
      <c r="D34" s="117"/>
      <c r="E34" s="117"/>
      <c r="F34" s="117"/>
      <c r="G34" s="117"/>
      <c r="H34" s="117"/>
      <c r="I34" s="105"/>
    </row>
    <row r="35" spans="1:9" ht="15.75" customHeight="1" x14ac:dyDescent="0.2">
      <c r="A35" s="3"/>
      <c r="B35" s="102"/>
      <c r="C35" s="53" t="s">
        <v>273</v>
      </c>
      <c r="D35" s="160">
        <f>-D9</f>
        <v>-950000</v>
      </c>
      <c r="E35" s="117">
        <v>0</v>
      </c>
      <c r="F35" s="117">
        <v>0</v>
      </c>
      <c r="G35" s="117">
        <v>0</v>
      </c>
      <c r="H35" s="160">
        <f>D9</f>
        <v>950000</v>
      </c>
      <c r="I35" s="105"/>
    </row>
    <row r="36" spans="1:9" ht="15.75" customHeight="1" x14ac:dyDescent="0.2">
      <c r="A36" s="3"/>
      <c r="B36" s="102"/>
      <c r="C36" s="53" t="s">
        <v>274</v>
      </c>
      <c r="D36" s="262">
        <f>-D8</f>
        <v>-18000000</v>
      </c>
      <c r="E36" s="263">
        <v>0</v>
      </c>
      <c r="F36" s="263">
        <v>0</v>
      </c>
      <c r="G36" s="263">
        <v>0</v>
      </c>
      <c r="H36" s="264">
        <v>0</v>
      </c>
      <c r="I36" s="105"/>
    </row>
    <row r="37" spans="1:9" ht="15.75" customHeight="1" thickBot="1" x14ac:dyDescent="0.25">
      <c r="A37" s="3"/>
      <c r="B37" s="102"/>
      <c r="C37" s="53" t="s">
        <v>275</v>
      </c>
      <c r="D37" s="265">
        <f t="shared" ref="D37:H37" si="1">D33+D35+D36</f>
        <v>-18950000</v>
      </c>
      <c r="E37" s="265">
        <f t="shared" si="1"/>
        <v>7186000</v>
      </c>
      <c r="F37" s="265">
        <f t="shared" si="1"/>
        <v>7186000</v>
      </c>
      <c r="G37" s="265">
        <f t="shared" si="1"/>
        <v>7186000</v>
      </c>
      <c r="H37" s="265">
        <f t="shared" si="1"/>
        <v>8136000</v>
      </c>
      <c r="I37" s="105"/>
    </row>
    <row r="38" spans="1:9" ht="15.75" customHeight="1" thickTop="1" x14ac:dyDescent="0.2">
      <c r="A38" s="3"/>
      <c r="B38" s="102"/>
      <c r="C38" s="53"/>
      <c r="D38" s="266"/>
      <c r="E38" s="259"/>
      <c r="F38" s="259"/>
      <c r="G38" s="259"/>
      <c r="H38" s="259"/>
      <c r="I38" s="105"/>
    </row>
    <row r="39" spans="1:9" ht="15.75" customHeight="1" x14ac:dyDescent="0.25">
      <c r="A39" s="3"/>
      <c r="B39" s="102"/>
      <c r="C39" s="53" t="s">
        <v>276</v>
      </c>
      <c r="D39" s="267">
        <f>NPV(D13,E37:H37)+D37</f>
        <v>3007203.7366492599</v>
      </c>
      <c r="E39" s="53"/>
      <c r="F39" s="53"/>
      <c r="G39" s="53"/>
      <c r="H39" s="53"/>
      <c r="I39" s="105"/>
    </row>
    <row r="40" spans="1:9" ht="15.75" customHeight="1" x14ac:dyDescent="0.2">
      <c r="A40" s="3"/>
      <c r="B40" s="102"/>
      <c r="C40" s="53"/>
      <c r="D40" s="268"/>
      <c r="E40" s="53"/>
      <c r="F40" s="53"/>
      <c r="G40" s="53"/>
      <c r="H40" s="53"/>
      <c r="I40" s="105"/>
    </row>
    <row r="41" spans="1:9" ht="15.75" customHeight="1" x14ac:dyDescent="0.2">
      <c r="A41" s="3"/>
      <c r="B41" s="102"/>
      <c r="C41" s="235" t="s">
        <v>277</v>
      </c>
      <c r="D41" s="268"/>
      <c r="E41" s="53"/>
      <c r="F41" s="53"/>
      <c r="G41" s="53"/>
      <c r="H41" s="53"/>
      <c r="I41" s="105"/>
    </row>
    <row r="42" spans="1:9" ht="15.75" customHeight="1" x14ac:dyDescent="0.2">
      <c r="A42" s="3"/>
      <c r="B42" s="102"/>
      <c r="C42" s="53" t="s">
        <v>359</v>
      </c>
      <c r="D42" s="268"/>
      <c r="E42" s="318">
        <f>D8-E49</f>
        <v>13500000</v>
      </c>
      <c r="F42" s="53"/>
      <c r="G42" s="53"/>
      <c r="H42" s="53"/>
      <c r="I42" s="105"/>
    </row>
    <row r="43" spans="1:9" ht="15.75" customHeight="1" x14ac:dyDescent="0.2">
      <c r="A43" s="3"/>
      <c r="B43" s="102"/>
      <c r="C43" s="53" t="s">
        <v>35</v>
      </c>
      <c r="D43" s="268"/>
      <c r="E43" s="318">
        <f>(E42-D15)*D12</f>
        <v>-315000</v>
      </c>
      <c r="F43" s="53"/>
      <c r="G43" s="53"/>
      <c r="H43" s="53"/>
      <c r="I43" s="105"/>
    </row>
    <row r="44" spans="1:9" ht="15.75" customHeight="1" x14ac:dyDescent="0.2">
      <c r="A44" s="3"/>
      <c r="B44" s="102"/>
      <c r="C44" s="53" t="s">
        <v>21</v>
      </c>
      <c r="D44" s="268"/>
      <c r="E44" s="318">
        <f>D15+E43</f>
        <v>14685000</v>
      </c>
      <c r="F44" s="53"/>
      <c r="G44" s="53"/>
      <c r="H44" s="53"/>
      <c r="I44" s="105"/>
    </row>
    <row r="45" spans="1:9" ht="15.75" customHeight="1" x14ac:dyDescent="0.2">
      <c r="A45" s="3"/>
      <c r="B45" s="102"/>
      <c r="C45" s="235"/>
      <c r="D45" s="268"/>
      <c r="E45" s="53"/>
      <c r="F45" s="53"/>
      <c r="G45" s="53"/>
      <c r="H45" s="53"/>
      <c r="I45" s="105"/>
    </row>
    <row r="46" spans="1:9" ht="15.75" customHeight="1" x14ac:dyDescent="0.2">
      <c r="A46" s="3"/>
      <c r="B46" s="102"/>
      <c r="C46" s="53" t="s">
        <v>266</v>
      </c>
      <c r="D46" s="269">
        <v>0</v>
      </c>
      <c r="E46" s="18">
        <v>1</v>
      </c>
      <c r="F46" s="53"/>
      <c r="G46" s="53"/>
      <c r="H46" s="53"/>
      <c r="I46" s="105"/>
    </row>
    <row r="47" spans="1:9" ht="15.75" customHeight="1" x14ac:dyDescent="0.2">
      <c r="A47" s="3"/>
      <c r="B47" s="102"/>
      <c r="C47" s="53" t="s">
        <v>267</v>
      </c>
      <c r="D47" s="269"/>
      <c r="E47" s="206">
        <f>$D$10</f>
        <v>12400000</v>
      </c>
      <c r="F47" s="53"/>
      <c r="G47" s="53"/>
      <c r="H47" s="53"/>
      <c r="I47" s="105"/>
    </row>
    <row r="48" spans="1:9" ht="15.75" customHeight="1" x14ac:dyDescent="0.2">
      <c r="A48" s="3"/>
      <c r="B48" s="102"/>
      <c r="C48" s="53" t="s">
        <v>268</v>
      </c>
      <c r="D48" s="269"/>
      <c r="E48" s="260">
        <f>$D$11</f>
        <v>4500000</v>
      </c>
      <c r="F48" s="53"/>
      <c r="G48" s="53"/>
      <c r="H48" s="53"/>
      <c r="I48" s="105"/>
    </row>
    <row r="49" spans="1:9" ht="15.75" customHeight="1" x14ac:dyDescent="0.2">
      <c r="A49" s="3"/>
      <c r="B49" s="102"/>
      <c r="C49" s="53" t="s">
        <v>6</v>
      </c>
      <c r="D49" s="269"/>
      <c r="E49" s="309">
        <f>$D$8/$D$7</f>
        <v>4500000</v>
      </c>
      <c r="F49" s="53"/>
      <c r="G49" s="53"/>
      <c r="H49" s="53"/>
      <c r="I49" s="105"/>
    </row>
    <row r="50" spans="1:9" ht="15.75" customHeight="1" x14ac:dyDescent="0.2">
      <c r="A50" s="3"/>
      <c r="B50" s="102"/>
      <c r="C50" s="53" t="s">
        <v>269</v>
      </c>
      <c r="D50" s="269"/>
      <c r="E50" s="206">
        <f>E47-E48-E49</f>
        <v>3400000</v>
      </c>
      <c r="F50" s="53"/>
      <c r="G50" s="53"/>
      <c r="H50" s="53"/>
      <c r="I50" s="105"/>
    </row>
    <row r="51" spans="1:9" ht="15.75" customHeight="1" x14ac:dyDescent="0.2">
      <c r="A51" s="3"/>
      <c r="B51" s="102"/>
      <c r="C51" s="53" t="s">
        <v>270</v>
      </c>
      <c r="D51" s="269"/>
      <c r="E51" s="309">
        <f>E50*$D$12</f>
        <v>714000</v>
      </c>
      <c r="F51" s="53"/>
      <c r="G51" s="53"/>
      <c r="H51" s="53"/>
      <c r="I51" s="105"/>
    </row>
    <row r="52" spans="1:9" ht="15.75" customHeight="1" x14ac:dyDescent="0.2">
      <c r="A52" s="3"/>
      <c r="B52" s="102"/>
      <c r="C52" s="53" t="s">
        <v>45</v>
      </c>
      <c r="D52" s="270"/>
      <c r="E52" s="61">
        <f>E50-E51</f>
        <v>2686000</v>
      </c>
      <c r="F52" s="117"/>
      <c r="G52" s="117"/>
      <c r="H52" s="117"/>
      <c r="I52" s="105"/>
    </row>
    <row r="53" spans="1:9" ht="15.75" customHeight="1" x14ac:dyDescent="0.2">
      <c r="A53" s="3"/>
      <c r="B53" s="102"/>
      <c r="C53" s="261" t="s">
        <v>271</v>
      </c>
      <c r="D53" s="270"/>
      <c r="E53" s="262">
        <f>E49</f>
        <v>4500000</v>
      </c>
      <c r="F53" s="117"/>
      <c r="G53" s="117"/>
      <c r="H53" s="117"/>
      <c r="I53" s="105"/>
    </row>
    <row r="54" spans="1:9" ht="15.75" customHeight="1" x14ac:dyDescent="0.2">
      <c r="A54" s="3"/>
      <c r="B54" s="102"/>
      <c r="C54" s="53" t="s">
        <v>272</v>
      </c>
      <c r="D54" s="270"/>
      <c r="E54" s="61">
        <f>E52+E53</f>
        <v>7186000</v>
      </c>
      <c r="F54" s="117"/>
      <c r="G54" s="117"/>
      <c r="H54" s="117"/>
      <c r="I54" s="105"/>
    </row>
    <row r="55" spans="1:9" ht="15.75" customHeight="1" x14ac:dyDescent="0.2">
      <c r="A55" s="3"/>
      <c r="B55" s="102"/>
      <c r="C55" s="53"/>
      <c r="D55" s="66"/>
      <c r="E55" s="117"/>
      <c r="F55" s="117"/>
      <c r="G55" s="117"/>
      <c r="H55" s="117"/>
      <c r="I55" s="105"/>
    </row>
    <row r="56" spans="1:9" ht="15.75" customHeight="1" x14ac:dyDescent="0.2">
      <c r="A56" s="3"/>
      <c r="B56" s="102"/>
      <c r="C56" s="53" t="s">
        <v>273</v>
      </c>
      <c r="D56" s="104">
        <f>-D9</f>
        <v>-950000</v>
      </c>
      <c r="E56" s="160">
        <f>D9</f>
        <v>950000</v>
      </c>
      <c r="F56" s="117"/>
      <c r="G56" s="117"/>
      <c r="H56" s="117"/>
      <c r="I56" s="105"/>
    </row>
    <row r="57" spans="1:9" ht="15.75" customHeight="1" x14ac:dyDescent="0.2">
      <c r="A57" s="3"/>
      <c r="B57" s="102"/>
      <c r="C57" s="53" t="s">
        <v>274</v>
      </c>
      <c r="D57" s="205">
        <f>-D8</f>
        <v>-18000000</v>
      </c>
      <c r="E57" s="62">
        <f>E44</f>
        <v>14685000</v>
      </c>
      <c r="F57" s="117"/>
      <c r="G57" s="117"/>
      <c r="H57" s="117"/>
      <c r="I57" s="105"/>
    </row>
    <row r="58" spans="1:9" ht="15.75" customHeight="1" thickBot="1" x14ac:dyDescent="0.25">
      <c r="A58" s="3"/>
      <c r="B58" s="102"/>
      <c r="C58" s="53" t="s">
        <v>275</v>
      </c>
      <c r="D58" s="271">
        <f>D56+D57</f>
        <v>-18950000</v>
      </c>
      <c r="E58" s="272">
        <f>E54+E56+E57</f>
        <v>22821000</v>
      </c>
      <c r="F58" s="117"/>
      <c r="G58" s="117"/>
      <c r="H58" s="117"/>
      <c r="I58" s="105"/>
    </row>
    <row r="59" spans="1:9" ht="15.75" customHeight="1" thickTop="1" x14ac:dyDescent="0.25">
      <c r="A59" s="3"/>
      <c r="B59" s="102"/>
      <c r="C59" s="53"/>
      <c r="D59" s="225"/>
      <c r="E59" s="53"/>
      <c r="F59" s="53"/>
      <c r="G59" s="53"/>
      <c r="H59" s="53"/>
      <c r="I59" s="105"/>
    </row>
    <row r="60" spans="1:9" ht="15.75" customHeight="1" x14ac:dyDescent="0.25">
      <c r="A60" s="3"/>
      <c r="B60" s="102"/>
      <c r="C60" s="53" t="s">
        <v>276</v>
      </c>
      <c r="D60" s="273">
        <f>NPV(D13,E58)+D58</f>
        <v>1245575.221238941</v>
      </c>
      <c r="E60" s="53"/>
      <c r="F60" s="53"/>
      <c r="G60" s="53"/>
      <c r="H60" s="53"/>
      <c r="I60" s="105"/>
    </row>
    <row r="61" spans="1:9" ht="15.75" customHeight="1" x14ac:dyDescent="0.25">
      <c r="A61" s="3"/>
      <c r="B61" s="102"/>
      <c r="C61" s="53"/>
      <c r="D61" s="225"/>
      <c r="E61" s="53"/>
      <c r="F61" s="53"/>
      <c r="G61" s="53"/>
      <c r="H61" s="53"/>
      <c r="I61" s="105"/>
    </row>
    <row r="62" spans="1:9" ht="15.75" customHeight="1" x14ac:dyDescent="0.25">
      <c r="A62" s="3"/>
      <c r="B62" s="102"/>
      <c r="C62" s="235" t="s">
        <v>278</v>
      </c>
      <c r="D62" s="225"/>
      <c r="E62" s="53"/>
      <c r="F62" s="53"/>
      <c r="G62" s="53"/>
      <c r="H62" s="53"/>
      <c r="I62" s="105"/>
    </row>
    <row r="63" spans="1:9" ht="15.75" customHeight="1" x14ac:dyDescent="0.2">
      <c r="A63" s="3"/>
      <c r="B63" s="102"/>
      <c r="C63" s="53" t="s">
        <v>359</v>
      </c>
      <c r="D63" s="268"/>
      <c r="E63" s="318">
        <f>D8-E70-F70</f>
        <v>9000000</v>
      </c>
      <c r="F63" s="53"/>
      <c r="G63" s="53"/>
      <c r="H63" s="53"/>
      <c r="I63" s="105"/>
    </row>
    <row r="64" spans="1:9" ht="15.75" customHeight="1" x14ac:dyDescent="0.2">
      <c r="A64" s="3"/>
      <c r="B64" s="102"/>
      <c r="C64" s="53" t="s">
        <v>35</v>
      </c>
      <c r="D64" s="268"/>
      <c r="E64" s="318">
        <f>(E63-D16)*D12</f>
        <v>-420000</v>
      </c>
      <c r="F64" s="53"/>
      <c r="G64" s="53"/>
      <c r="H64" s="53"/>
      <c r="I64" s="105"/>
    </row>
    <row r="65" spans="1:9" ht="15.75" customHeight="1" x14ac:dyDescent="0.2">
      <c r="A65" s="3"/>
      <c r="B65" s="102"/>
      <c r="C65" s="53" t="s">
        <v>21</v>
      </c>
      <c r="D65" s="268"/>
      <c r="E65" s="318">
        <f>D16+E64</f>
        <v>10580000</v>
      </c>
      <c r="F65" s="53"/>
      <c r="G65" s="53"/>
      <c r="H65" s="53"/>
      <c r="I65" s="105"/>
    </row>
    <row r="66" spans="1:9" ht="15.75" customHeight="1" x14ac:dyDescent="0.25">
      <c r="A66" s="3"/>
      <c r="B66" s="102"/>
      <c r="C66" s="235"/>
      <c r="D66" s="225"/>
      <c r="E66" s="53"/>
      <c r="F66" s="53"/>
      <c r="G66" s="53"/>
      <c r="H66" s="53"/>
      <c r="I66" s="105"/>
    </row>
    <row r="67" spans="1:9" ht="15.75" customHeight="1" x14ac:dyDescent="0.2">
      <c r="A67" s="3"/>
      <c r="B67" s="102"/>
      <c r="C67" s="53" t="s">
        <v>266</v>
      </c>
      <c r="D67" s="269">
        <v>0</v>
      </c>
      <c r="E67" s="53">
        <v>1</v>
      </c>
      <c r="F67" s="53">
        <v>2</v>
      </c>
      <c r="G67" s="53"/>
      <c r="H67" s="53"/>
      <c r="I67" s="105"/>
    </row>
    <row r="68" spans="1:9" ht="15.75" customHeight="1" x14ac:dyDescent="0.2">
      <c r="A68" s="3"/>
      <c r="B68" s="102"/>
      <c r="C68" s="53" t="s">
        <v>267</v>
      </c>
      <c r="D68" s="269"/>
      <c r="E68" s="206">
        <f>$D$10</f>
        <v>12400000</v>
      </c>
      <c r="F68" s="206">
        <f>$D$10</f>
        <v>12400000</v>
      </c>
      <c r="G68" s="53"/>
      <c r="H68" s="53"/>
      <c r="I68" s="105"/>
    </row>
    <row r="69" spans="1:9" ht="15.75" customHeight="1" x14ac:dyDescent="0.2">
      <c r="A69" s="3"/>
      <c r="B69" s="102"/>
      <c r="C69" s="53" t="s">
        <v>268</v>
      </c>
      <c r="D69" s="269"/>
      <c r="E69" s="260">
        <f>$D$11</f>
        <v>4500000</v>
      </c>
      <c r="F69" s="260">
        <f>$D$11</f>
        <v>4500000</v>
      </c>
      <c r="G69" s="53"/>
      <c r="H69" s="53"/>
      <c r="I69" s="105"/>
    </row>
    <row r="70" spans="1:9" ht="15.75" customHeight="1" x14ac:dyDescent="0.2">
      <c r="A70" s="3"/>
      <c r="B70" s="102"/>
      <c r="C70" s="53" t="s">
        <v>6</v>
      </c>
      <c r="D70" s="269"/>
      <c r="E70" s="309">
        <f>$D$8/$D$7</f>
        <v>4500000</v>
      </c>
      <c r="F70" s="309">
        <f>$D$8/$D$7</f>
        <v>4500000</v>
      </c>
      <c r="G70" s="53"/>
      <c r="H70" s="53"/>
      <c r="I70" s="105"/>
    </row>
    <row r="71" spans="1:9" ht="15.75" customHeight="1" x14ac:dyDescent="0.2">
      <c r="A71" s="3"/>
      <c r="B71" s="102"/>
      <c r="C71" s="53" t="s">
        <v>269</v>
      </c>
      <c r="D71" s="269"/>
      <c r="E71" s="206">
        <f>E68-E69-E70</f>
        <v>3400000</v>
      </c>
      <c r="F71" s="206">
        <f>F68-F69-F70</f>
        <v>3400000</v>
      </c>
      <c r="G71" s="53"/>
      <c r="H71" s="53"/>
      <c r="I71" s="105"/>
    </row>
    <row r="72" spans="1:9" ht="15.75" customHeight="1" x14ac:dyDescent="0.2">
      <c r="A72" s="3"/>
      <c r="B72" s="102"/>
      <c r="C72" s="53" t="s">
        <v>270</v>
      </c>
      <c r="D72" s="269"/>
      <c r="E72" s="309">
        <f>E71*$D$12</f>
        <v>714000</v>
      </c>
      <c r="F72" s="309">
        <f>F71*$D$12</f>
        <v>714000</v>
      </c>
      <c r="G72" s="53"/>
      <c r="H72" s="53"/>
      <c r="I72" s="105"/>
    </row>
    <row r="73" spans="1:9" ht="15.75" customHeight="1" x14ac:dyDescent="0.2">
      <c r="A73" s="3"/>
      <c r="B73" s="102"/>
      <c r="C73" s="53" t="s">
        <v>45</v>
      </c>
      <c r="D73" s="274"/>
      <c r="E73" s="61">
        <f>E71-E72</f>
        <v>2686000</v>
      </c>
      <c r="F73" s="61">
        <f>F71-F72</f>
        <v>2686000</v>
      </c>
      <c r="G73" s="53"/>
      <c r="H73" s="53"/>
      <c r="I73" s="105"/>
    </row>
    <row r="74" spans="1:9" ht="15.75" customHeight="1" x14ac:dyDescent="0.2">
      <c r="A74" s="3"/>
      <c r="B74" s="102"/>
      <c r="C74" s="261" t="s">
        <v>271</v>
      </c>
      <c r="D74" s="104"/>
      <c r="E74" s="262">
        <f>E70</f>
        <v>4500000</v>
      </c>
      <c r="F74" s="262">
        <f>F70</f>
        <v>4500000</v>
      </c>
      <c r="G74" s="53"/>
      <c r="H74" s="53"/>
      <c r="I74" s="105"/>
    </row>
    <row r="75" spans="1:9" ht="15.75" customHeight="1" x14ac:dyDescent="0.2">
      <c r="A75" s="3"/>
      <c r="B75" s="102"/>
      <c r="C75" s="53" t="s">
        <v>272</v>
      </c>
      <c r="D75" s="274"/>
      <c r="E75" s="61">
        <f>E73+E74</f>
        <v>7186000</v>
      </c>
      <c r="F75" s="61">
        <f>F73+F74</f>
        <v>7186000</v>
      </c>
      <c r="G75" s="53"/>
      <c r="H75" s="53"/>
      <c r="I75" s="105"/>
    </row>
    <row r="76" spans="1:9" ht="15.75" customHeight="1" x14ac:dyDescent="0.2">
      <c r="A76" s="3"/>
      <c r="B76" s="102"/>
      <c r="C76" s="53"/>
      <c r="D76" s="274"/>
      <c r="E76" s="117"/>
      <c r="F76" s="117"/>
      <c r="G76" s="53"/>
      <c r="H76" s="53"/>
      <c r="I76" s="105"/>
    </row>
    <row r="77" spans="1:9" ht="15.75" customHeight="1" x14ac:dyDescent="0.2">
      <c r="A77" s="3"/>
      <c r="B77" s="102"/>
      <c r="C77" s="53" t="s">
        <v>273</v>
      </c>
      <c r="D77" s="275">
        <f>-D9</f>
        <v>-950000</v>
      </c>
      <c r="E77" s="117">
        <v>0</v>
      </c>
      <c r="F77" s="62">
        <f>D9</f>
        <v>950000</v>
      </c>
      <c r="G77" s="53"/>
      <c r="H77" s="53"/>
      <c r="I77" s="105"/>
    </row>
    <row r="78" spans="1:9" ht="15.75" customHeight="1" x14ac:dyDescent="0.2">
      <c r="A78" s="3"/>
      <c r="B78" s="102"/>
      <c r="C78" s="53" t="s">
        <v>274</v>
      </c>
      <c r="D78" s="205">
        <f>-D8</f>
        <v>-18000000</v>
      </c>
      <c r="E78" s="62">
        <v>0</v>
      </c>
      <c r="F78" s="62">
        <f>E65</f>
        <v>10580000</v>
      </c>
      <c r="G78" s="53"/>
      <c r="H78" s="53"/>
      <c r="I78" s="105"/>
    </row>
    <row r="79" spans="1:9" ht="15.75" customHeight="1" thickBot="1" x14ac:dyDescent="0.25">
      <c r="A79" s="3"/>
      <c r="B79" s="102"/>
      <c r="C79" s="53" t="s">
        <v>275</v>
      </c>
      <c r="D79" s="276">
        <f>D77+D78</f>
        <v>-18950000</v>
      </c>
      <c r="E79" s="272">
        <f>E75+E77+E78</f>
        <v>7186000</v>
      </c>
      <c r="F79" s="272">
        <f>F75+F77+F78</f>
        <v>18716000</v>
      </c>
      <c r="G79" s="53"/>
      <c r="H79" s="53"/>
      <c r="I79" s="105"/>
    </row>
    <row r="80" spans="1:9" ht="15.75" customHeight="1" thickTop="1" x14ac:dyDescent="0.2">
      <c r="A80" s="3"/>
      <c r="B80" s="102"/>
      <c r="C80" s="53"/>
      <c r="D80" s="266"/>
      <c r="E80" s="259"/>
      <c r="F80" s="53"/>
      <c r="G80" s="53"/>
      <c r="H80" s="53"/>
      <c r="I80" s="105"/>
    </row>
    <row r="81" spans="1:9" ht="15.75" customHeight="1" x14ac:dyDescent="0.25">
      <c r="A81" s="3"/>
      <c r="B81" s="102"/>
      <c r="C81" s="53" t="s">
        <v>276</v>
      </c>
      <c r="D81" s="127">
        <f>NPV(D13,E79:F79)+D79</f>
        <v>2066665.361422196</v>
      </c>
      <c r="E81" s="259"/>
      <c r="F81" s="53"/>
      <c r="G81" s="53"/>
      <c r="H81" s="53"/>
      <c r="I81" s="105"/>
    </row>
    <row r="82" spans="1:9" ht="15.75" customHeight="1" x14ac:dyDescent="0.25">
      <c r="A82" s="3"/>
      <c r="B82" s="102"/>
      <c r="C82" s="53"/>
      <c r="D82" s="134"/>
      <c r="E82" s="53"/>
      <c r="F82" s="53"/>
      <c r="G82" s="53"/>
      <c r="H82" s="53"/>
      <c r="I82" s="105"/>
    </row>
    <row r="83" spans="1:9" ht="15.75" customHeight="1" x14ac:dyDescent="0.25">
      <c r="A83" s="3"/>
      <c r="B83" s="102"/>
      <c r="C83" s="235" t="s">
        <v>279</v>
      </c>
      <c r="D83" s="134"/>
      <c r="E83" s="53"/>
      <c r="F83" s="53"/>
      <c r="G83" s="53"/>
      <c r="H83" s="53"/>
      <c r="I83" s="105"/>
    </row>
    <row r="84" spans="1:9" ht="15.75" customHeight="1" x14ac:dyDescent="0.2">
      <c r="A84" s="3"/>
      <c r="B84" s="102"/>
      <c r="C84" s="53" t="s">
        <v>359</v>
      </c>
      <c r="D84" s="268"/>
      <c r="E84" s="318">
        <f>D8-E91-F91-G91</f>
        <v>4500000</v>
      </c>
      <c r="F84" s="53"/>
      <c r="G84" s="53"/>
      <c r="H84" s="53"/>
      <c r="I84" s="105"/>
    </row>
    <row r="85" spans="1:9" ht="15.75" customHeight="1" x14ac:dyDescent="0.2">
      <c r="A85" s="3"/>
      <c r="B85" s="102"/>
      <c r="C85" s="53" t="s">
        <v>35</v>
      </c>
      <c r="D85" s="268"/>
      <c r="E85" s="318">
        <f>(E84-D17)*D12</f>
        <v>-840000</v>
      </c>
      <c r="F85" s="53"/>
      <c r="G85" s="53"/>
      <c r="H85" s="53"/>
      <c r="I85" s="105"/>
    </row>
    <row r="86" spans="1:9" ht="15.75" customHeight="1" x14ac:dyDescent="0.2">
      <c r="A86" s="3"/>
      <c r="B86" s="102"/>
      <c r="C86" s="53" t="s">
        <v>21</v>
      </c>
      <c r="D86" s="268"/>
      <c r="E86" s="318">
        <f>D17+E85</f>
        <v>7660000</v>
      </c>
      <c r="F86" s="53"/>
      <c r="G86" s="53"/>
      <c r="H86" s="53"/>
      <c r="I86" s="105"/>
    </row>
    <row r="87" spans="1:9" ht="15.75" customHeight="1" x14ac:dyDescent="0.25">
      <c r="A87" s="3"/>
      <c r="B87" s="102"/>
      <c r="C87" s="235"/>
      <c r="D87" s="134"/>
      <c r="E87" s="53"/>
      <c r="F87" s="53"/>
      <c r="G87" s="53"/>
      <c r="H87" s="53"/>
      <c r="I87" s="105"/>
    </row>
    <row r="88" spans="1:9" ht="15.75" customHeight="1" x14ac:dyDescent="0.2">
      <c r="A88" s="3"/>
      <c r="B88" s="102"/>
      <c r="C88" s="53" t="s">
        <v>266</v>
      </c>
      <c r="D88" s="277">
        <v>0</v>
      </c>
      <c r="E88" s="278">
        <v>1</v>
      </c>
      <c r="F88" s="278">
        <v>2</v>
      </c>
      <c r="G88" s="278">
        <v>3</v>
      </c>
      <c r="H88" s="53"/>
      <c r="I88" s="105"/>
    </row>
    <row r="89" spans="1:9" ht="15.75" customHeight="1" x14ac:dyDescent="0.2">
      <c r="A89" s="3"/>
      <c r="B89" s="102"/>
      <c r="C89" s="53" t="s">
        <v>267</v>
      </c>
      <c r="D89" s="277"/>
      <c r="E89" s="206">
        <f>$D$10</f>
        <v>12400000</v>
      </c>
      <c r="F89" s="206">
        <f>$D$10</f>
        <v>12400000</v>
      </c>
      <c r="G89" s="206">
        <f>$D$10</f>
        <v>12400000</v>
      </c>
      <c r="H89" s="53"/>
      <c r="I89" s="105"/>
    </row>
    <row r="90" spans="1:9" ht="15.75" customHeight="1" x14ac:dyDescent="0.2">
      <c r="A90" s="3"/>
      <c r="B90" s="102"/>
      <c r="C90" s="53" t="s">
        <v>268</v>
      </c>
      <c r="D90" s="277"/>
      <c r="E90" s="260">
        <f>$D$11</f>
        <v>4500000</v>
      </c>
      <c r="F90" s="260">
        <f>$D$11</f>
        <v>4500000</v>
      </c>
      <c r="G90" s="260">
        <f>$D$11</f>
        <v>4500000</v>
      </c>
      <c r="H90" s="53"/>
      <c r="I90" s="105"/>
    </row>
    <row r="91" spans="1:9" ht="15.75" customHeight="1" x14ac:dyDescent="0.2">
      <c r="A91" s="3"/>
      <c r="B91" s="102"/>
      <c r="C91" s="53" t="s">
        <v>6</v>
      </c>
      <c r="D91" s="277"/>
      <c r="E91" s="309">
        <f>$D$8/$D$7</f>
        <v>4500000</v>
      </c>
      <c r="F91" s="309">
        <f>$D$8/$D$7</f>
        <v>4500000</v>
      </c>
      <c r="G91" s="309">
        <f>$D$8/$D$7</f>
        <v>4500000</v>
      </c>
      <c r="H91" s="53"/>
      <c r="I91" s="105"/>
    </row>
    <row r="92" spans="1:9" ht="15.75" customHeight="1" x14ac:dyDescent="0.2">
      <c r="A92" s="3"/>
      <c r="B92" s="102"/>
      <c r="C92" s="53" t="s">
        <v>269</v>
      </c>
      <c r="D92" s="277"/>
      <c r="E92" s="206">
        <f>E89-E90-E91</f>
        <v>3400000</v>
      </c>
      <c r="F92" s="206">
        <f>F89-F90-F91</f>
        <v>3400000</v>
      </c>
      <c r="G92" s="206">
        <f>G89-G90-G91</f>
        <v>3400000</v>
      </c>
      <c r="H92" s="53"/>
      <c r="I92" s="105"/>
    </row>
    <row r="93" spans="1:9" ht="15.75" customHeight="1" x14ac:dyDescent="0.2">
      <c r="A93" s="3"/>
      <c r="B93" s="102"/>
      <c r="C93" s="53" t="s">
        <v>270</v>
      </c>
      <c r="D93" s="277"/>
      <c r="E93" s="309">
        <f>E92*$D$12</f>
        <v>714000</v>
      </c>
      <c r="F93" s="309">
        <f>F92*$D$12</f>
        <v>714000</v>
      </c>
      <c r="G93" s="309">
        <f>G92*$D$12</f>
        <v>714000</v>
      </c>
      <c r="H93" s="53"/>
      <c r="I93" s="105"/>
    </row>
    <row r="94" spans="1:9" ht="15.75" customHeight="1" x14ac:dyDescent="0.25">
      <c r="A94" s="3"/>
      <c r="B94" s="102"/>
      <c r="C94" s="53" t="s">
        <v>45</v>
      </c>
      <c r="D94" s="134"/>
      <c r="E94" s="61">
        <f>E92-E93</f>
        <v>2686000</v>
      </c>
      <c r="F94" s="61">
        <f>F92-F93</f>
        <v>2686000</v>
      </c>
      <c r="G94" s="61">
        <f>G92-G93</f>
        <v>2686000</v>
      </c>
      <c r="H94" s="53"/>
      <c r="I94" s="105"/>
    </row>
    <row r="95" spans="1:9" ht="15.75" customHeight="1" x14ac:dyDescent="0.2">
      <c r="A95" s="3"/>
      <c r="B95" s="102"/>
      <c r="C95" s="261" t="s">
        <v>271</v>
      </c>
      <c r="D95" s="104"/>
      <c r="E95" s="262">
        <f>E91</f>
        <v>4500000</v>
      </c>
      <c r="F95" s="262">
        <f t="shared" ref="F95:G95" si="2">F91</f>
        <v>4500000</v>
      </c>
      <c r="G95" s="262">
        <f t="shared" si="2"/>
        <v>4500000</v>
      </c>
      <c r="H95" s="53"/>
      <c r="I95" s="105"/>
    </row>
    <row r="96" spans="1:9" ht="15.75" customHeight="1" x14ac:dyDescent="0.25">
      <c r="A96" s="3"/>
      <c r="B96" s="102"/>
      <c r="C96" s="53" t="s">
        <v>272</v>
      </c>
      <c r="D96" s="279"/>
      <c r="E96" s="61">
        <f>E94+E95</f>
        <v>7186000</v>
      </c>
      <c r="F96" s="61">
        <f>F94+F95</f>
        <v>7186000</v>
      </c>
      <c r="G96" s="61">
        <f>G94+G95</f>
        <v>7186000</v>
      </c>
      <c r="H96" s="53"/>
      <c r="I96" s="105"/>
    </row>
    <row r="97" spans="1:9" ht="15.75" customHeight="1" x14ac:dyDescent="0.25">
      <c r="A97" s="3"/>
      <c r="B97" s="102"/>
      <c r="C97" s="53"/>
      <c r="D97" s="279"/>
      <c r="E97" s="117"/>
      <c r="F97" s="117"/>
      <c r="G97" s="117"/>
      <c r="H97" s="53"/>
      <c r="I97" s="105"/>
    </row>
    <row r="98" spans="1:9" ht="15.75" customHeight="1" x14ac:dyDescent="0.2">
      <c r="A98" s="3"/>
      <c r="B98" s="102"/>
      <c r="C98" s="53" t="s">
        <v>273</v>
      </c>
      <c r="D98" s="104">
        <f>-D9</f>
        <v>-950000</v>
      </c>
      <c r="E98" s="117">
        <v>0</v>
      </c>
      <c r="F98" s="117">
        <v>0</v>
      </c>
      <c r="G98" s="62">
        <f>D9</f>
        <v>950000</v>
      </c>
      <c r="H98" s="53"/>
      <c r="I98" s="105"/>
    </row>
    <row r="99" spans="1:9" ht="15.75" customHeight="1" x14ac:dyDescent="0.2">
      <c r="A99" s="3"/>
      <c r="B99" s="102"/>
      <c r="C99" s="53" t="s">
        <v>274</v>
      </c>
      <c r="D99" s="205">
        <f>-D8</f>
        <v>-18000000</v>
      </c>
      <c r="E99" s="117">
        <v>0</v>
      </c>
      <c r="F99" s="117">
        <v>0</v>
      </c>
      <c r="G99" s="62">
        <f>E86</f>
        <v>7660000</v>
      </c>
      <c r="H99" s="53"/>
      <c r="I99" s="105"/>
    </row>
    <row r="100" spans="1:9" ht="15.75" customHeight="1" thickBot="1" x14ac:dyDescent="0.25">
      <c r="A100" s="3"/>
      <c r="B100" s="102"/>
      <c r="C100" s="53" t="s">
        <v>275</v>
      </c>
      <c r="D100" s="276">
        <f>D98+D99</f>
        <v>-18950000</v>
      </c>
      <c r="E100" s="272">
        <f>E96+E98+E99</f>
        <v>7186000</v>
      </c>
      <c r="F100" s="272">
        <f>F96+F98+F99</f>
        <v>7186000</v>
      </c>
      <c r="G100" s="272">
        <f>G96+G98+G99</f>
        <v>15796000</v>
      </c>
      <c r="H100" s="53"/>
      <c r="I100" s="105"/>
    </row>
    <row r="101" spans="1:9" ht="15.75" customHeight="1" thickTop="1" x14ac:dyDescent="0.25">
      <c r="A101" s="3"/>
      <c r="B101" s="102"/>
      <c r="C101" s="53"/>
      <c r="D101" s="134"/>
      <c r="E101" s="53"/>
      <c r="F101" s="53"/>
      <c r="G101" s="53"/>
      <c r="H101" s="53"/>
      <c r="I101" s="105"/>
    </row>
    <row r="102" spans="1:9" ht="15.75" customHeight="1" x14ac:dyDescent="0.25">
      <c r="A102" s="3"/>
      <c r="B102" s="102"/>
      <c r="C102" s="53" t="s">
        <v>276</v>
      </c>
      <c r="D102" s="127">
        <f>NPV(D13,E100:G100)+D100</f>
        <v>3984404.4654608108</v>
      </c>
      <c r="E102" s="53"/>
      <c r="F102" s="53"/>
      <c r="G102" s="53"/>
      <c r="H102" s="53"/>
      <c r="I102" s="105"/>
    </row>
    <row r="103" spans="1:9" ht="15.75" customHeight="1" thickBot="1" x14ac:dyDescent="0.25">
      <c r="A103" s="3"/>
      <c r="B103" s="106"/>
      <c r="C103" s="107"/>
      <c r="D103" s="227"/>
      <c r="E103" s="107"/>
      <c r="F103" s="107"/>
      <c r="G103" s="107"/>
      <c r="H103" s="107"/>
      <c r="I103" s="108"/>
    </row>
    <row r="104" spans="1:9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" x14ac:dyDescent="0.2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" x14ac:dyDescent="0.2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" x14ac:dyDescent="0.2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" x14ac:dyDescent="0.2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" x14ac:dyDescent="0.2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" x14ac:dyDescent="0.2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" x14ac:dyDescent="0.2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" x14ac:dyDescent="0.2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" x14ac:dyDescent="0.2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" x14ac:dyDescent="0.2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" x14ac:dyDescent="0.2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15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ht="15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ht="15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ht="15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ht="15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ht="15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ht="15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5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ht="15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5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5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5" x14ac:dyDescent="0.2">
      <c r="A236" s="3"/>
      <c r="B236" s="3"/>
      <c r="C236" s="3"/>
      <c r="D236" s="3"/>
      <c r="E236" s="3"/>
      <c r="F236" s="3"/>
      <c r="G236" s="3"/>
      <c r="H236" s="3"/>
      <c r="I236" s="3"/>
    </row>
  </sheetData>
  <phoneticPr fontId="32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" customWidth="1"/>
    <col min="4" max="4" width="18.140625" customWidth="1"/>
    <col min="5" max="5" width="3.140625" customWidth="1"/>
    <col min="6" max="6" width="17.85546875" bestFit="1" customWidth="1"/>
    <col min="7" max="7" width="19.85546875" bestFit="1" customWidth="1"/>
    <col min="8" max="8" width="18.85546875" customWidth="1"/>
    <col min="9" max="9" width="3.85546875" customWidth="1"/>
  </cols>
  <sheetData>
    <row r="1" spans="2:5" ht="18" customHeight="1" x14ac:dyDescent="0.25">
      <c r="C1" s="1" t="s">
        <v>332</v>
      </c>
    </row>
    <row r="2" spans="2:5" ht="15.75" customHeight="1" x14ac:dyDescent="0.2">
      <c r="C2" s="3" t="s">
        <v>3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4"/>
      <c r="C6" s="5"/>
      <c r="D6" s="5"/>
      <c r="E6" s="6"/>
    </row>
    <row r="7" spans="2:5" ht="15.75" customHeight="1" x14ac:dyDescent="0.2">
      <c r="B7" s="7"/>
      <c r="C7" s="12" t="s">
        <v>61</v>
      </c>
      <c r="D7" s="112">
        <f>'#1'!D7</f>
        <v>604000</v>
      </c>
      <c r="E7" s="8"/>
    </row>
    <row r="8" spans="2:5" ht="15.75" customHeight="1" x14ac:dyDescent="0.2">
      <c r="B8" s="7"/>
      <c r="C8" s="12" t="s">
        <v>62</v>
      </c>
      <c r="D8" s="113">
        <f>'#1'!D8</f>
        <v>8</v>
      </c>
      <c r="E8" s="8"/>
    </row>
    <row r="9" spans="2:5" ht="15.75" customHeight="1" x14ac:dyDescent="0.2">
      <c r="B9" s="7"/>
      <c r="C9" s="12" t="s">
        <v>63</v>
      </c>
      <c r="D9" s="113">
        <f>'#1'!D9</f>
        <v>55000</v>
      </c>
      <c r="E9" s="8"/>
    </row>
    <row r="10" spans="2:5" ht="15.75" customHeight="1" x14ac:dyDescent="0.2">
      <c r="B10" s="7"/>
      <c r="C10" s="12" t="s">
        <v>53</v>
      </c>
      <c r="D10" s="145">
        <f>'#1'!D10</f>
        <v>36</v>
      </c>
      <c r="E10" s="8"/>
    </row>
    <row r="11" spans="2:5" ht="15.75" customHeight="1" x14ac:dyDescent="0.2">
      <c r="B11" s="7"/>
      <c r="C11" s="12" t="s">
        <v>54</v>
      </c>
      <c r="D11" s="145">
        <f>'#1'!D11</f>
        <v>17</v>
      </c>
      <c r="E11" s="8"/>
    </row>
    <row r="12" spans="2:5" ht="15.75" customHeight="1" x14ac:dyDescent="0.2">
      <c r="B12" s="7"/>
      <c r="C12" s="12" t="s">
        <v>37</v>
      </c>
      <c r="D12" s="112">
        <f>'#1'!D12</f>
        <v>685000</v>
      </c>
      <c r="E12" s="8"/>
    </row>
    <row r="13" spans="2:5" ht="15.75" customHeight="1" x14ac:dyDescent="0.2">
      <c r="B13" s="7"/>
      <c r="C13" s="12" t="s">
        <v>7</v>
      </c>
      <c r="D13" s="115">
        <f>'#1'!D13</f>
        <v>0.21</v>
      </c>
      <c r="E13" s="8"/>
    </row>
    <row r="14" spans="2:5" ht="15.75" customHeight="1" x14ac:dyDescent="0.2">
      <c r="B14" s="7"/>
      <c r="C14" s="12" t="s">
        <v>17</v>
      </c>
      <c r="D14" s="115">
        <f>'#1'!D14</f>
        <v>0.15</v>
      </c>
      <c r="E14" s="8"/>
    </row>
    <row r="15" spans="2:5" ht="15.75" customHeight="1" x14ac:dyDescent="0.2">
      <c r="B15" s="124"/>
      <c r="C15" s="12" t="s">
        <v>80</v>
      </c>
      <c r="D15" s="121">
        <v>0.1</v>
      </c>
      <c r="E15" s="8"/>
    </row>
    <row r="16" spans="2:5" ht="15.75" customHeight="1" x14ac:dyDescent="0.2">
      <c r="B16" s="7"/>
      <c r="C16" s="12" t="s">
        <v>81</v>
      </c>
      <c r="D16" s="121">
        <v>0.1</v>
      </c>
      <c r="E16" s="8"/>
    </row>
    <row r="17" spans="2:9" ht="15.75" customHeight="1" x14ac:dyDescent="0.2">
      <c r="B17" s="124"/>
      <c r="C17" s="12" t="s">
        <v>82</v>
      </c>
      <c r="D17" s="121">
        <v>0.1</v>
      </c>
      <c r="E17" s="8"/>
    </row>
    <row r="18" spans="2:9" ht="15.75" customHeight="1" x14ac:dyDescent="0.2">
      <c r="B18" s="124"/>
      <c r="C18" s="12" t="s">
        <v>83</v>
      </c>
      <c r="D18" s="121">
        <v>0.1</v>
      </c>
      <c r="E18" s="8"/>
    </row>
    <row r="19" spans="2:9" ht="15.75" customHeight="1" thickBot="1" x14ac:dyDescent="0.25">
      <c r="B19" s="9"/>
      <c r="C19" s="10"/>
      <c r="D19" s="10"/>
      <c r="E19" s="11"/>
    </row>
    <row r="20" spans="2:9" ht="15.75" customHeight="1" x14ac:dyDescent="0.2"/>
    <row r="21" spans="2:9" ht="15.75" customHeight="1" x14ac:dyDescent="0.2">
      <c r="C21" s="2" t="s">
        <v>2</v>
      </c>
    </row>
    <row r="22" spans="2:9" ht="15.75" customHeight="1" thickBot="1" x14ac:dyDescent="0.25"/>
    <row r="23" spans="2:9" ht="15.75" customHeight="1" x14ac:dyDescent="0.2">
      <c r="B23" s="14"/>
      <c r="C23" s="15"/>
      <c r="D23" s="15"/>
      <c r="E23" s="15"/>
      <c r="F23" s="15"/>
      <c r="G23" s="15"/>
      <c r="H23" s="15"/>
      <c r="I23" s="150"/>
    </row>
    <row r="24" spans="2:9" ht="15.75" customHeight="1" x14ac:dyDescent="0.2">
      <c r="B24" s="70"/>
      <c r="C24" s="146" t="s">
        <v>84</v>
      </c>
      <c r="D24" s="149">
        <f>D7/D8</f>
        <v>75500</v>
      </c>
      <c r="E24" s="72"/>
      <c r="F24" s="71"/>
      <c r="G24" s="71"/>
      <c r="H24" s="19"/>
      <c r="I24" s="151"/>
    </row>
    <row r="25" spans="2:9" ht="15.75" customHeight="1" x14ac:dyDescent="0.25">
      <c r="B25" s="56"/>
      <c r="C25" s="147"/>
      <c r="D25" s="68"/>
      <c r="E25" s="59"/>
      <c r="F25" s="69"/>
      <c r="G25" s="69"/>
      <c r="H25" s="18"/>
      <c r="I25" s="151"/>
    </row>
    <row r="26" spans="2:9" ht="15.75" customHeight="1" x14ac:dyDescent="0.2">
      <c r="B26" s="56"/>
      <c r="C26" s="122" t="s">
        <v>55</v>
      </c>
      <c r="D26" s="135" t="s">
        <v>59</v>
      </c>
      <c r="E26" s="71"/>
      <c r="F26" s="71" t="s">
        <v>43</v>
      </c>
      <c r="G26" s="71" t="s">
        <v>60</v>
      </c>
      <c r="H26" s="71" t="s">
        <v>37</v>
      </c>
      <c r="I26" s="151"/>
    </row>
    <row r="27" spans="2:9" ht="15.75" customHeight="1" x14ac:dyDescent="0.25">
      <c r="B27" s="56"/>
      <c r="C27" s="18" t="s">
        <v>56</v>
      </c>
      <c r="D27" s="131">
        <f>D9</f>
        <v>55000</v>
      </c>
      <c r="E27" s="18"/>
      <c r="F27" s="134">
        <f>D10</f>
        <v>36</v>
      </c>
      <c r="G27" s="134">
        <f>D11</f>
        <v>17</v>
      </c>
      <c r="H27" s="130">
        <f>D12</f>
        <v>685000</v>
      </c>
      <c r="I27" s="151"/>
    </row>
    <row r="28" spans="2:9" ht="15.75" customHeight="1" x14ac:dyDescent="0.25">
      <c r="B28" s="56"/>
      <c r="C28" s="18" t="s">
        <v>57</v>
      </c>
      <c r="D28" s="131">
        <f>D9*(1+D16)</f>
        <v>60500.000000000007</v>
      </c>
      <c r="E28" s="18"/>
      <c r="F28" s="134">
        <f>D10*(1+D15)</f>
        <v>39.6</v>
      </c>
      <c r="G28" s="134">
        <f>D11*(1-D17)</f>
        <v>15.3</v>
      </c>
      <c r="H28" s="130">
        <f>D12*(1-D18)</f>
        <v>616500</v>
      </c>
      <c r="I28" s="151"/>
    </row>
    <row r="29" spans="2:9" ht="15.75" customHeight="1" x14ac:dyDescent="0.25">
      <c r="B29" s="56"/>
      <c r="C29" s="18" t="s">
        <v>58</v>
      </c>
      <c r="D29" s="131">
        <f>D9*(1-D16)</f>
        <v>49500</v>
      </c>
      <c r="E29" s="18"/>
      <c r="F29" s="134">
        <f>D10*(1-D15)</f>
        <v>32.4</v>
      </c>
      <c r="G29" s="134">
        <f>D11*(1+D17)</f>
        <v>18.700000000000003</v>
      </c>
      <c r="H29" s="130">
        <f>D12*(1+D18)</f>
        <v>753500.00000000012</v>
      </c>
      <c r="I29" s="151"/>
    </row>
    <row r="30" spans="2:9" ht="15.75" customHeight="1" x14ac:dyDescent="0.25">
      <c r="B30" s="56"/>
      <c r="C30" s="18"/>
      <c r="D30" s="131"/>
      <c r="E30" s="18"/>
      <c r="F30" s="134"/>
      <c r="G30" s="134"/>
      <c r="H30" s="130"/>
      <c r="I30" s="151"/>
    </row>
    <row r="31" spans="2:9" ht="15.75" customHeight="1" x14ac:dyDescent="0.25">
      <c r="B31" s="56"/>
      <c r="C31" s="18" t="s">
        <v>85</v>
      </c>
      <c r="D31" s="137">
        <f>((((F28-G28)*D28)-H28)*(1-$D$13))+($D$13*D24)</f>
        <v>690238.50000000023</v>
      </c>
      <c r="E31" s="18"/>
      <c r="F31" s="134"/>
      <c r="G31" s="134"/>
      <c r="H31" s="130"/>
      <c r="I31" s="151"/>
    </row>
    <row r="32" spans="2:9" ht="15.75" customHeight="1" x14ac:dyDescent="0.25">
      <c r="B32" s="56"/>
      <c r="C32" s="18" t="s">
        <v>86</v>
      </c>
      <c r="D32" s="127">
        <f>-D7+PV(D14,D8,-D31)</f>
        <v>2493322.066487215</v>
      </c>
      <c r="E32" s="18"/>
      <c r="F32" s="134"/>
      <c r="G32" s="134"/>
      <c r="H32" s="130"/>
      <c r="I32" s="151"/>
    </row>
    <row r="33" spans="2:9" ht="15.75" customHeight="1" x14ac:dyDescent="0.25">
      <c r="B33" s="56"/>
      <c r="C33" s="148"/>
      <c r="D33" s="68"/>
      <c r="E33" s="60"/>
      <c r="F33" s="67"/>
      <c r="G33" s="67"/>
      <c r="H33" s="19"/>
      <c r="I33" s="151"/>
    </row>
    <row r="34" spans="2:9" ht="15.75" customHeight="1" x14ac:dyDescent="0.25">
      <c r="B34" s="56"/>
      <c r="C34" s="153" t="s">
        <v>87</v>
      </c>
      <c r="D34" s="137">
        <f>((((F29-G29)*D29)-H29)*(1-$D$13))+($D$13*D24)</f>
        <v>-43671.500000000276</v>
      </c>
      <c r="E34" s="60"/>
      <c r="F34" s="67"/>
      <c r="G34" s="67"/>
      <c r="H34" s="19"/>
      <c r="I34" s="151"/>
    </row>
    <row r="35" spans="2:9" ht="15.75" customHeight="1" x14ac:dyDescent="0.25">
      <c r="B35" s="56"/>
      <c r="C35" s="153" t="s">
        <v>88</v>
      </c>
      <c r="D35" s="127">
        <f>-D7+PV(D14,D8,-D34,0,0)</f>
        <v>-799968.0612231819</v>
      </c>
      <c r="E35" s="60"/>
      <c r="F35" s="67"/>
      <c r="G35" s="67"/>
      <c r="H35" s="19"/>
      <c r="I35" s="151"/>
    </row>
    <row r="36" spans="2:9" ht="15.75" customHeight="1" thickBot="1" x14ac:dyDescent="0.25">
      <c r="B36" s="23"/>
      <c r="C36" s="24"/>
      <c r="D36" s="24"/>
      <c r="E36" s="24"/>
      <c r="F36" s="24"/>
      <c r="G36" s="24"/>
      <c r="H36" s="24"/>
      <c r="I36" s="152"/>
    </row>
    <row r="37" spans="2:9" ht="15.75" customHeight="1" x14ac:dyDescent="0.2">
      <c r="B37" s="13"/>
      <c r="C37" s="13"/>
      <c r="D37" s="13"/>
      <c r="E37" s="13"/>
      <c r="F37" s="13"/>
      <c r="G37" s="13"/>
      <c r="H37" s="13"/>
    </row>
    <row r="38" spans="2:9" ht="15.75" customHeight="1" x14ac:dyDescent="0.2"/>
    <row r="39" spans="2:9" ht="15.75" customHeight="1" x14ac:dyDescent="0.2">
      <c r="D39" s="26"/>
    </row>
    <row r="40" spans="2:9" ht="15.75" customHeight="1" x14ac:dyDescent="0.2"/>
    <row r="41" spans="2:9" ht="15.75" customHeight="1" x14ac:dyDescent="0.2"/>
    <row r="42" spans="2:9" ht="15.75" customHeight="1" x14ac:dyDescent="0.2"/>
    <row r="43" spans="2:9" ht="15.75" customHeight="1" x14ac:dyDescent="0.2"/>
    <row r="44" spans="2:9" ht="15.75" customHeight="1" x14ac:dyDescent="0.2"/>
    <row r="45" spans="2:9" ht="15.75" customHeight="1" x14ac:dyDescent="0.2"/>
    <row r="46" spans="2:9" ht="15.75" customHeight="1" x14ac:dyDescent="0.2"/>
    <row r="47" spans="2:9" ht="15.75" customHeight="1" x14ac:dyDescent="0.2"/>
    <row r="48" spans="2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</sheetData>
  <phoneticPr fontId="0" type="noConversion"/>
  <pageMargins left="0.75" right="0.75" top="1" bottom="1" header="0.5" footer="0.5"/>
  <pageSetup scale="74" orientation="portrait" horizontalDpi="360" verticalDpi="36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customWidth="1"/>
    <col min="4" max="4" width="21.140625" customWidth="1"/>
    <col min="5" max="5" width="3.140625" customWidth="1"/>
    <col min="6" max="8" width="9.140625" customWidth="1"/>
  </cols>
  <sheetData>
    <row r="1" spans="2:7" ht="18" x14ac:dyDescent="0.25">
      <c r="C1" s="1" t="s">
        <v>332</v>
      </c>
    </row>
    <row r="2" spans="2:7" ht="15.75" customHeight="1" x14ac:dyDescent="0.2">
      <c r="C2" s="3" t="s">
        <v>304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22</v>
      </c>
      <c r="D7" s="109">
        <v>9500000</v>
      </c>
      <c r="E7" s="39"/>
      <c r="F7" s="13"/>
    </row>
    <row r="8" spans="2:7" ht="15.75" customHeight="1" x14ac:dyDescent="0.2">
      <c r="B8" s="7"/>
      <c r="C8" s="12" t="s">
        <v>286</v>
      </c>
      <c r="D8" s="109">
        <v>1800000</v>
      </c>
      <c r="E8" s="39"/>
      <c r="F8" s="13"/>
    </row>
    <row r="9" spans="2:7" ht="15.75" customHeight="1" x14ac:dyDescent="0.2">
      <c r="B9" s="7"/>
      <c r="C9" s="12" t="s">
        <v>234</v>
      </c>
      <c r="D9" s="110">
        <v>10</v>
      </c>
      <c r="E9" s="39"/>
      <c r="F9" s="13"/>
    </row>
    <row r="10" spans="2:7" ht="15.75" customHeight="1" x14ac:dyDescent="0.2">
      <c r="B10" s="7"/>
      <c r="C10" s="12" t="s">
        <v>177</v>
      </c>
      <c r="D10" s="121">
        <v>0.1</v>
      </c>
      <c r="E10" s="39"/>
      <c r="F10" s="13"/>
    </row>
    <row r="11" spans="2:7" ht="15.75" customHeight="1" x14ac:dyDescent="0.2">
      <c r="B11" s="7"/>
      <c r="C11" s="12"/>
      <c r="D11" s="121"/>
      <c r="E11" s="39"/>
      <c r="F11" s="13"/>
    </row>
    <row r="12" spans="2:7" ht="15.75" customHeight="1" x14ac:dyDescent="0.2">
      <c r="B12" s="124" t="s">
        <v>49</v>
      </c>
      <c r="C12" s="228" t="s">
        <v>287</v>
      </c>
      <c r="D12" s="121"/>
      <c r="E12" s="39"/>
      <c r="F12" s="13"/>
    </row>
    <row r="13" spans="2:7" ht="15.75" customHeight="1" x14ac:dyDescent="0.2">
      <c r="B13" s="124"/>
      <c r="C13" s="12" t="s">
        <v>305</v>
      </c>
      <c r="D13" s="109">
        <v>2950000</v>
      </c>
      <c r="E13" s="39"/>
      <c r="F13" s="13"/>
    </row>
    <row r="14" spans="2:7" ht="15.75" customHeight="1" x14ac:dyDescent="0.2">
      <c r="B14" s="124"/>
      <c r="C14" s="12" t="s">
        <v>306</v>
      </c>
      <c r="D14" s="109">
        <v>395000</v>
      </c>
      <c r="E14" s="39"/>
      <c r="F14" s="13"/>
    </row>
    <row r="15" spans="2:7" ht="15.75" customHeight="1" x14ac:dyDescent="0.2">
      <c r="B15" s="7"/>
      <c r="C15" s="12" t="s">
        <v>21</v>
      </c>
      <c r="D15" s="109">
        <v>3100000</v>
      </c>
      <c r="E15" s="39"/>
      <c r="F15" s="13"/>
    </row>
    <row r="16" spans="2:7" ht="15.75" customHeight="1" x14ac:dyDescent="0.2">
      <c r="B16" s="7"/>
      <c r="C16" s="12" t="s">
        <v>289</v>
      </c>
      <c r="D16" s="121">
        <v>0.5</v>
      </c>
      <c r="E16" s="39"/>
      <c r="F16" s="13"/>
    </row>
    <row r="17" spans="2:6" ht="15.75" customHeight="1" thickBot="1" x14ac:dyDescent="0.25">
      <c r="B17" s="9"/>
      <c r="C17" s="10"/>
      <c r="D17" s="10"/>
      <c r="E17" s="40"/>
      <c r="F17" s="13"/>
    </row>
    <row r="18" spans="2:6" ht="15.75" customHeight="1" x14ac:dyDescent="0.2"/>
    <row r="19" spans="2:6" ht="15.75" customHeight="1" x14ac:dyDescent="0.2">
      <c r="C19" s="2" t="s">
        <v>2</v>
      </c>
    </row>
    <row r="20" spans="2:6" ht="15.75" customHeight="1" thickBot="1" x14ac:dyDescent="0.25"/>
    <row r="21" spans="2:6" ht="15.75" customHeight="1" x14ac:dyDescent="0.2">
      <c r="B21" s="14"/>
      <c r="C21" s="55"/>
      <c r="D21" s="55"/>
      <c r="E21" s="16"/>
      <c r="F21" s="28"/>
    </row>
    <row r="22" spans="2:6" ht="15.75" customHeight="1" x14ac:dyDescent="0.25">
      <c r="B22" s="123" t="s">
        <v>48</v>
      </c>
      <c r="C22" s="18" t="s">
        <v>18</v>
      </c>
      <c r="D22" s="114">
        <f>-D7+PV(D10,D9,-D8)</f>
        <v>1560220.7902684323</v>
      </c>
      <c r="E22" s="20"/>
      <c r="F22" s="28"/>
    </row>
    <row r="23" spans="2:6" ht="15.75" customHeight="1" x14ac:dyDescent="0.2">
      <c r="B23" s="123"/>
      <c r="C23" s="18"/>
      <c r="D23" s="280"/>
      <c r="E23" s="20"/>
      <c r="F23" s="28"/>
    </row>
    <row r="24" spans="2:6" ht="15.75" customHeight="1" x14ac:dyDescent="0.2">
      <c r="B24" s="123" t="s">
        <v>49</v>
      </c>
      <c r="C24" s="53" t="s">
        <v>307</v>
      </c>
      <c r="D24" s="66">
        <f>PV(D10,D9-1,-D14)</f>
        <v>2274814.4074286856</v>
      </c>
      <c r="E24" s="20"/>
      <c r="F24" s="28"/>
    </row>
    <row r="25" spans="2:6" ht="15.75" customHeight="1" x14ac:dyDescent="0.2">
      <c r="B25" s="123"/>
      <c r="C25" s="53"/>
      <c r="D25" s="281"/>
      <c r="E25" s="20"/>
      <c r="F25" s="28"/>
    </row>
    <row r="26" spans="2:6" ht="15.75" customHeight="1" x14ac:dyDescent="0.2">
      <c r="B26" s="123"/>
      <c r="C26" s="53" t="s">
        <v>308</v>
      </c>
      <c r="D26" s="66"/>
      <c r="E26" s="20"/>
      <c r="F26" s="28"/>
    </row>
    <row r="27" spans="2:6" ht="15.75" customHeight="1" x14ac:dyDescent="0.2">
      <c r="B27" s="123"/>
      <c r="C27" s="53" t="s">
        <v>309</v>
      </c>
      <c r="D27" s="66">
        <f>MAX(D24,D15)</f>
        <v>3100000</v>
      </c>
      <c r="E27" s="20"/>
      <c r="F27" s="28"/>
    </row>
    <row r="28" spans="2:6" ht="15.75" customHeight="1" x14ac:dyDescent="0.2">
      <c r="B28" s="123"/>
      <c r="C28" s="53"/>
      <c r="D28" s="66"/>
      <c r="E28" s="20"/>
      <c r="F28" s="28"/>
    </row>
    <row r="29" spans="2:6" ht="15.75" customHeight="1" x14ac:dyDescent="0.2">
      <c r="B29" s="123"/>
      <c r="C29" s="53" t="s">
        <v>310</v>
      </c>
      <c r="D29" s="66"/>
      <c r="E29" s="20"/>
      <c r="F29" s="28"/>
    </row>
    <row r="30" spans="2:6" ht="15.75" customHeight="1" x14ac:dyDescent="0.25">
      <c r="B30" s="123"/>
      <c r="C30" s="59" t="str">
        <f>IF(D24&gt;D15,"continue the project","abandon the project")</f>
        <v>abandon the project</v>
      </c>
      <c r="D30" s="66"/>
      <c r="E30" s="20"/>
      <c r="F30" s="28"/>
    </row>
    <row r="31" spans="2:6" ht="15.75" customHeight="1" x14ac:dyDescent="0.2">
      <c r="B31" s="123"/>
      <c r="C31" s="53" t="s">
        <v>311</v>
      </c>
      <c r="D31" s="66"/>
      <c r="E31" s="20"/>
      <c r="F31" s="28"/>
    </row>
    <row r="32" spans="2:6" ht="15.75" customHeight="1" x14ac:dyDescent="0.2">
      <c r="B32" s="123"/>
      <c r="C32" s="53" t="s">
        <v>312</v>
      </c>
      <c r="D32" s="66"/>
      <c r="E32" s="20"/>
      <c r="F32" s="28"/>
    </row>
    <row r="33" spans="2:8" ht="15.75" customHeight="1" x14ac:dyDescent="0.2">
      <c r="B33" s="123"/>
      <c r="C33" s="53"/>
      <c r="D33" s="66"/>
      <c r="E33" s="20"/>
      <c r="F33" s="28"/>
    </row>
    <row r="34" spans="2:8" ht="15.75" customHeight="1" x14ac:dyDescent="0.2">
      <c r="B34" s="123"/>
      <c r="C34" s="53" t="s">
        <v>352</v>
      </c>
      <c r="D34" s="66">
        <f>MAX(D24,D15)</f>
        <v>3100000</v>
      </c>
      <c r="E34" s="20"/>
      <c r="F34" s="28"/>
    </row>
    <row r="35" spans="2:8" ht="15.75" customHeight="1" x14ac:dyDescent="0.2">
      <c r="B35" s="123"/>
      <c r="C35" s="53"/>
      <c r="D35" s="66"/>
      <c r="E35" s="20"/>
      <c r="F35" s="28"/>
    </row>
    <row r="36" spans="2:8" ht="15.75" customHeight="1" x14ac:dyDescent="0.2">
      <c r="B36" s="123"/>
      <c r="C36" s="53" t="s">
        <v>315</v>
      </c>
      <c r="D36" s="66">
        <f>D8/(1+D10)</f>
        <v>1636363.6363636362</v>
      </c>
      <c r="E36" s="20"/>
      <c r="F36" s="28"/>
    </row>
    <row r="37" spans="2:8" ht="15.75" customHeight="1" x14ac:dyDescent="0.2">
      <c r="B37" s="123"/>
      <c r="C37" s="53" t="s">
        <v>353</v>
      </c>
      <c r="D37" s="66"/>
      <c r="E37" s="20"/>
      <c r="F37" s="28"/>
    </row>
    <row r="38" spans="2:8" ht="15.75" customHeight="1" x14ac:dyDescent="0.2">
      <c r="B38" s="123"/>
      <c r="C38" s="53" t="s">
        <v>354</v>
      </c>
      <c r="D38" s="66">
        <f>((1-D16)*D34)/(1+D10)</f>
        <v>1409090.9090909089</v>
      </c>
      <c r="E38" s="20"/>
      <c r="F38" s="28"/>
    </row>
    <row r="39" spans="2:8" ht="15.75" customHeight="1" x14ac:dyDescent="0.2">
      <c r="B39" s="123"/>
      <c r="C39" s="53" t="s">
        <v>313</v>
      </c>
      <c r="D39" s="66">
        <f>PV(D10,D9-1,D16*-D13)/(1+D10)</f>
        <v>7722327.3900053184</v>
      </c>
      <c r="E39" s="20"/>
      <c r="F39" s="28"/>
    </row>
    <row r="40" spans="2:8" ht="15.75" customHeight="1" x14ac:dyDescent="0.2">
      <c r="B40" s="123"/>
      <c r="C40" s="53"/>
      <c r="D40" s="66"/>
      <c r="E40" s="20"/>
      <c r="F40" s="28"/>
    </row>
    <row r="41" spans="2:8" ht="15.75" customHeight="1" x14ac:dyDescent="0.25">
      <c r="B41" s="123"/>
      <c r="C41" s="53" t="s">
        <v>314</v>
      </c>
      <c r="D41" s="114">
        <f>-D7+D36+D38+D39</f>
        <v>1267781.9354598643</v>
      </c>
      <c r="E41" s="20"/>
      <c r="F41" s="28"/>
    </row>
    <row r="42" spans="2:8" ht="15.75" customHeight="1" thickBot="1" x14ac:dyDescent="0.25">
      <c r="B42" s="23"/>
      <c r="C42" s="36"/>
      <c r="D42" s="49"/>
      <c r="E42" s="42"/>
      <c r="F42" s="28"/>
    </row>
    <row r="43" spans="2:8" ht="15.75" customHeight="1" x14ac:dyDescent="0.2">
      <c r="B43" s="28"/>
      <c r="C43" s="33"/>
      <c r="D43" s="34"/>
      <c r="E43" s="35"/>
      <c r="F43" s="32"/>
      <c r="G43" s="32"/>
      <c r="H43" s="28"/>
    </row>
    <row r="44" spans="2:8" ht="15.75" customHeight="1" x14ac:dyDescent="0.2">
      <c r="B44" s="28"/>
      <c r="C44" s="33"/>
      <c r="D44" s="34"/>
      <c r="E44" s="35"/>
      <c r="F44" s="32"/>
      <c r="G44" s="32"/>
      <c r="H44" s="28"/>
    </row>
    <row r="45" spans="2:8" ht="15.75" customHeight="1" x14ac:dyDescent="0.2">
      <c r="B45" s="28"/>
      <c r="C45" s="33"/>
      <c r="D45" s="34"/>
      <c r="E45" s="35"/>
      <c r="F45" s="32"/>
      <c r="G45" s="32"/>
      <c r="H45" s="28"/>
    </row>
    <row r="46" spans="2:8" ht="15.75" customHeight="1" x14ac:dyDescent="0.2">
      <c r="B46" s="28"/>
      <c r="C46" s="28"/>
      <c r="D46" s="28"/>
      <c r="E46" s="28"/>
      <c r="F46" s="28"/>
      <c r="G46" s="28"/>
      <c r="H46" s="28"/>
    </row>
    <row r="47" spans="2:8" ht="15.75" customHeight="1" x14ac:dyDescent="0.2">
      <c r="B47" s="13"/>
      <c r="C47" s="13"/>
      <c r="D47" s="13"/>
      <c r="E47" s="13"/>
      <c r="F47" s="13"/>
      <c r="G47" s="13"/>
      <c r="H47" s="13"/>
    </row>
    <row r="48" spans="2:8" ht="15.75" customHeight="1" x14ac:dyDescent="0.2"/>
    <row r="49" spans="4:4" ht="15.75" customHeight="1" x14ac:dyDescent="0.2">
      <c r="D49" s="26"/>
    </row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customWidth="1"/>
    <col min="4" max="4" width="21.140625" customWidth="1"/>
    <col min="5" max="5" width="3.140625" customWidth="1"/>
    <col min="6" max="8" width="9.140625" customWidth="1"/>
  </cols>
  <sheetData>
    <row r="1" spans="2:7" ht="18" x14ac:dyDescent="0.25">
      <c r="C1" s="1" t="s">
        <v>332</v>
      </c>
    </row>
    <row r="2" spans="2:7" ht="15.75" customHeight="1" x14ac:dyDescent="0.2">
      <c r="C2" s="3" t="s">
        <v>316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317</v>
      </c>
      <c r="D7" s="109">
        <v>13000</v>
      </c>
      <c r="E7" s="39"/>
      <c r="F7" s="13"/>
    </row>
    <row r="8" spans="2:7" ht="15.75" customHeight="1" x14ac:dyDescent="0.2">
      <c r="B8" s="7"/>
      <c r="C8" s="12" t="s">
        <v>234</v>
      </c>
      <c r="D8" s="110">
        <v>10</v>
      </c>
      <c r="E8" s="39"/>
      <c r="F8" s="13"/>
    </row>
    <row r="9" spans="2:7" ht="15.75" customHeight="1" x14ac:dyDescent="0.2">
      <c r="B9" s="7"/>
      <c r="C9" s="12" t="s">
        <v>318</v>
      </c>
      <c r="D9" s="110">
        <v>5</v>
      </c>
      <c r="E9" s="39"/>
      <c r="F9" s="13"/>
    </row>
    <row r="10" spans="2:7" ht="15.75" customHeight="1" x14ac:dyDescent="0.2">
      <c r="B10" s="7"/>
      <c r="C10" s="12" t="s">
        <v>319</v>
      </c>
      <c r="D10" s="109">
        <v>65000</v>
      </c>
      <c r="E10" s="39"/>
      <c r="F10" s="13"/>
    </row>
    <row r="11" spans="2:7" ht="15.75" customHeight="1" x14ac:dyDescent="0.2">
      <c r="B11" s="124"/>
      <c r="C11" s="12" t="s">
        <v>320</v>
      </c>
      <c r="D11" s="109">
        <v>21000</v>
      </c>
      <c r="E11" s="39"/>
      <c r="F11" s="13"/>
    </row>
    <row r="12" spans="2:7" ht="15.75" customHeight="1" x14ac:dyDescent="0.2">
      <c r="B12" s="124"/>
      <c r="C12" s="12" t="s">
        <v>7</v>
      </c>
      <c r="D12" s="121">
        <v>0.22</v>
      </c>
      <c r="E12" s="39"/>
      <c r="F12" s="13"/>
    </row>
    <row r="13" spans="2:7" ht="15.75" customHeight="1" x14ac:dyDescent="0.2">
      <c r="B13" s="124"/>
      <c r="C13" s="12" t="s">
        <v>17</v>
      </c>
      <c r="D13" s="121">
        <v>0.15</v>
      </c>
      <c r="E13" s="39"/>
      <c r="F13" s="13"/>
    </row>
    <row r="14" spans="2:7" ht="15.75" customHeight="1" thickBot="1" x14ac:dyDescent="0.25">
      <c r="B14" s="9"/>
      <c r="C14" s="10"/>
      <c r="D14" s="10"/>
      <c r="E14" s="40"/>
      <c r="F14" s="13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4"/>
      <c r="C18" s="55"/>
      <c r="D18" s="55"/>
      <c r="E18" s="16"/>
      <c r="F18" s="28"/>
    </row>
    <row r="19" spans="2:8" ht="15.75" customHeight="1" x14ac:dyDescent="0.2">
      <c r="B19" s="123"/>
      <c r="C19" s="18" t="s">
        <v>321</v>
      </c>
      <c r="D19" s="66">
        <f>D10/(D8+D9)</f>
        <v>4333.333333333333</v>
      </c>
      <c r="E19" s="20"/>
      <c r="F19" s="28"/>
    </row>
    <row r="20" spans="2:8" ht="15.75" customHeight="1" x14ac:dyDescent="0.2">
      <c r="B20" s="123"/>
      <c r="C20" s="18" t="s">
        <v>322</v>
      </c>
      <c r="D20" s="66">
        <f>D10-(D9*D19)</f>
        <v>43333.333333333336</v>
      </c>
      <c r="E20" s="20"/>
      <c r="F20" s="28"/>
    </row>
    <row r="21" spans="2:8" ht="15.75" customHeight="1" x14ac:dyDescent="0.2">
      <c r="B21" s="123"/>
      <c r="C21" s="53" t="s">
        <v>323</v>
      </c>
      <c r="D21" s="66">
        <f>D11+D12*(D20-D11)</f>
        <v>25913.333333333336</v>
      </c>
      <c r="E21" s="20"/>
      <c r="F21" s="28"/>
    </row>
    <row r="22" spans="2:8" ht="15.75" customHeight="1" x14ac:dyDescent="0.2">
      <c r="B22" s="123"/>
      <c r="C22" s="53" t="s">
        <v>324</v>
      </c>
      <c r="D22" s="66">
        <f>PV(D13,D8,(1-D12)*-D7)</f>
        <v>50890.313866161872</v>
      </c>
      <c r="E22" s="20"/>
      <c r="F22" s="28"/>
    </row>
    <row r="23" spans="2:8" ht="15.75" customHeight="1" x14ac:dyDescent="0.2">
      <c r="B23" s="123"/>
      <c r="C23" s="53"/>
      <c r="D23" s="66"/>
      <c r="E23" s="20"/>
      <c r="F23" s="28"/>
    </row>
    <row r="24" spans="2:8" ht="15.75" customHeight="1" x14ac:dyDescent="0.25">
      <c r="B24" s="123"/>
      <c r="C24" s="53" t="s">
        <v>325</v>
      </c>
      <c r="D24" s="114">
        <f>(D21+D22-PV(D13,D8,D19*-D12))/(1-PV(D13,D8,-(1/D8)*D12))</f>
        <v>80957.883232616165</v>
      </c>
      <c r="E24" s="20"/>
      <c r="F24" s="28"/>
    </row>
    <row r="25" spans="2:8" ht="15.75" customHeight="1" thickBot="1" x14ac:dyDescent="0.25">
      <c r="B25" s="23"/>
      <c r="C25" s="36"/>
      <c r="D25" s="49"/>
      <c r="E25" s="42"/>
      <c r="F25" s="28"/>
    </row>
    <row r="26" spans="2:8" ht="15.75" customHeight="1" x14ac:dyDescent="0.2">
      <c r="B26" s="28"/>
      <c r="C26" s="33"/>
      <c r="D26" s="34"/>
      <c r="E26" s="35"/>
      <c r="F26" s="32"/>
      <c r="G26" s="32"/>
      <c r="H26" s="28"/>
    </row>
    <row r="27" spans="2:8" ht="15.75" customHeight="1" x14ac:dyDescent="0.2">
      <c r="B27" s="28"/>
      <c r="C27" s="33"/>
      <c r="D27" s="34"/>
      <c r="E27" s="35"/>
      <c r="F27" s="32"/>
      <c r="G27" s="32"/>
      <c r="H27" s="28"/>
    </row>
    <row r="28" spans="2:8" ht="15.75" customHeight="1" x14ac:dyDescent="0.2">
      <c r="B28" s="28"/>
      <c r="C28" s="33"/>
      <c r="D28" s="34"/>
      <c r="E28" s="35"/>
      <c r="F28" s="32"/>
      <c r="G28" s="32"/>
      <c r="H28" s="28"/>
    </row>
    <row r="29" spans="2:8" ht="15.75" customHeight="1" x14ac:dyDescent="0.2">
      <c r="B29" s="28"/>
      <c r="C29" s="28"/>
      <c r="D29" s="319"/>
      <c r="E29" s="28"/>
      <c r="F29" s="28"/>
      <c r="G29" s="28"/>
      <c r="H29" s="28"/>
    </row>
    <row r="30" spans="2:8" ht="15.75" customHeight="1" x14ac:dyDescent="0.2">
      <c r="B30" s="13"/>
      <c r="C30" s="13"/>
      <c r="D30" s="13"/>
      <c r="E30" s="13"/>
      <c r="F30" s="13"/>
      <c r="G30" s="13"/>
      <c r="H30" s="13"/>
    </row>
    <row r="31" spans="2:8" ht="15.75" customHeight="1" x14ac:dyDescent="0.2"/>
    <row r="32" spans="2:8" ht="15.75" customHeight="1" x14ac:dyDescent="0.2">
      <c r="D32" s="2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4.140625" customWidth="1"/>
    <col min="4" max="4" width="20.140625" customWidth="1"/>
    <col min="5" max="7" width="18.7109375" customWidth="1"/>
    <col min="8" max="8" width="3.140625" customWidth="1"/>
    <col min="9" max="11" width="9.140625" customWidth="1"/>
  </cols>
  <sheetData>
    <row r="1" spans="2:8" ht="18.75" customHeight="1" x14ac:dyDescent="0.25">
      <c r="C1" s="1" t="s">
        <v>332</v>
      </c>
      <c r="D1" s="1"/>
      <c r="E1" s="1"/>
      <c r="F1" s="1"/>
    </row>
    <row r="2" spans="2:8" ht="15.75" customHeight="1" x14ac:dyDescent="0.2">
      <c r="C2" s="3" t="s">
        <v>4</v>
      </c>
      <c r="D2" s="3"/>
      <c r="E2" s="3"/>
      <c r="F2" s="3"/>
    </row>
    <row r="3" spans="2:8" ht="15.75" customHeight="1" x14ac:dyDescent="0.2"/>
    <row r="4" spans="2:8" ht="15.75" customHeight="1" x14ac:dyDescent="0.2">
      <c r="C4" s="2" t="s">
        <v>1</v>
      </c>
      <c r="D4" s="2"/>
      <c r="E4" s="2"/>
      <c r="F4" s="2"/>
    </row>
    <row r="5" spans="2:8" ht="15.75" customHeight="1" thickBot="1" x14ac:dyDescent="0.25"/>
    <row r="6" spans="2:8" ht="15.75" customHeight="1" x14ac:dyDescent="0.2">
      <c r="B6" s="4"/>
      <c r="C6" s="5"/>
      <c r="D6" s="5"/>
      <c r="E6" s="5"/>
      <c r="F6" s="5"/>
      <c r="G6" s="5"/>
      <c r="H6" s="6"/>
    </row>
    <row r="7" spans="2:8" ht="15.75" customHeight="1" x14ac:dyDescent="0.2">
      <c r="B7" s="7"/>
      <c r="C7" s="154" t="s">
        <v>360</v>
      </c>
      <c r="D7" s="154" t="s">
        <v>43</v>
      </c>
      <c r="E7" s="154" t="s">
        <v>60</v>
      </c>
      <c r="F7" s="154" t="s">
        <v>37</v>
      </c>
      <c r="G7" s="155" t="s">
        <v>6</v>
      </c>
      <c r="H7" s="8"/>
    </row>
    <row r="8" spans="2:8" ht="15.75" customHeight="1" x14ac:dyDescent="0.2">
      <c r="B8" s="124" t="s">
        <v>48</v>
      </c>
      <c r="C8" s="129">
        <v>95800</v>
      </c>
      <c r="D8" s="125">
        <v>42</v>
      </c>
      <c r="E8" s="125">
        <v>30</v>
      </c>
      <c r="F8" s="125">
        <v>820000</v>
      </c>
      <c r="G8" s="157" t="s">
        <v>89</v>
      </c>
      <c r="H8" s="8"/>
    </row>
    <row r="9" spans="2:8" ht="15.75" customHeight="1" x14ac:dyDescent="0.2">
      <c r="B9" s="124" t="s">
        <v>49</v>
      </c>
      <c r="C9" s="129">
        <v>143806</v>
      </c>
      <c r="D9" s="156" t="s">
        <v>89</v>
      </c>
      <c r="E9" s="129">
        <v>64</v>
      </c>
      <c r="F9" s="129">
        <v>2750000</v>
      </c>
      <c r="G9" s="125">
        <v>1150000</v>
      </c>
      <c r="H9" s="8"/>
    </row>
    <row r="10" spans="2:8" ht="15.75" customHeight="1" x14ac:dyDescent="0.2">
      <c r="B10" s="124" t="s">
        <v>50</v>
      </c>
      <c r="C10" s="129">
        <v>7835</v>
      </c>
      <c r="D10" s="129">
        <v>97</v>
      </c>
      <c r="E10" s="156" t="s">
        <v>89</v>
      </c>
      <c r="F10" s="129">
        <v>245000</v>
      </c>
      <c r="G10" s="129">
        <v>105000</v>
      </c>
      <c r="H10" s="8"/>
    </row>
    <row r="11" spans="2:8" ht="15.75" customHeight="1" x14ac:dyDescent="0.2">
      <c r="B11" s="7"/>
      <c r="C11" s="12"/>
      <c r="D11" s="12"/>
      <c r="E11" s="12"/>
      <c r="F11" s="12"/>
      <c r="G11" s="73"/>
      <c r="H11" s="8"/>
    </row>
    <row r="12" spans="2:8" ht="15.75" customHeight="1" thickBot="1" x14ac:dyDescent="0.25">
      <c r="B12" s="9"/>
      <c r="C12" s="10"/>
      <c r="D12" s="10"/>
      <c r="E12" s="10"/>
      <c r="F12" s="10"/>
      <c r="G12" s="10"/>
      <c r="H12" s="11"/>
    </row>
    <row r="13" spans="2:8" ht="15.75" customHeight="1" x14ac:dyDescent="0.2"/>
    <row r="14" spans="2:8" ht="15.75" customHeight="1" x14ac:dyDescent="0.2">
      <c r="C14" s="2" t="s">
        <v>2</v>
      </c>
      <c r="D14" s="2"/>
      <c r="E14" s="2"/>
      <c r="F14" s="2"/>
    </row>
    <row r="15" spans="2:8" ht="15.75" customHeight="1" thickBot="1" x14ac:dyDescent="0.25"/>
    <row r="16" spans="2:8" ht="15.75" customHeight="1" x14ac:dyDescent="0.2">
      <c r="B16" s="14"/>
      <c r="C16" s="15"/>
      <c r="D16" s="15"/>
      <c r="E16" s="16"/>
      <c r="F16" s="28"/>
      <c r="G16" s="28"/>
      <c r="H16" s="28"/>
    </row>
    <row r="17" spans="2:11" ht="15.75" customHeight="1" x14ac:dyDescent="0.25">
      <c r="B17" s="123" t="s">
        <v>48</v>
      </c>
      <c r="C17" s="18" t="s">
        <v>6</v>
      </c>
      <c r="D17" s="128">
        <f>(C8*(D8-E8))-F8</f>
        <v>329600</v>
      </c>
      <c r="E17" s="20"/>
      <c r="F17" s="29"/>
      <c r="G17" s="29"/>
      <c r="H17" s="28"/>
    </row>
    <row r="18" spans="2:11" ht="15.75" customHeight="1" x14ac:dyDescent="0.2">
      <c r="B18" s="123"/>
      <c r="C18" s="31"/>
      <c r="D18" s="119"/>
      <c r="E18" s="20"/>
      <c r="F18" s="32"/>
      <c r="G18" s="32"/>
      <c r="H18" s="28"/>
    </row>
    <row r="19" spans="2:11" ht="15.75" customHeight="1" x14ac:dyDescent="0.25">
      <c r="B19" s="123" t="s">
        <v>49</v>
      </c>
      <c r="C19" s="18" t="s">
        <v>43</v>
      </c>
      <c r="D19" s="127">
        <f>((F9+G9)/C9)+E9</f>
        <v>91.119869824624843</v>
      </c>
      <c r="E19" s="20"/>
      <c r="F19" s="32"/>
      <c r="G19" s="32"/>
      <c r="H19" s="28"/>
    </row>
    <row r="20" spans="2:11" ht="15.75" customHeight="1" x14ac:dyDescent="0.2">
      <c r="B20" s="123"/>
      <c r="C20" s="31"/>
      <c r="D20" s="119"/>
      <c r="E20" s="20"/>
      <c r="F20" s="32"/>
      <c r="G20" s="32"/>
      <c r="H20" s="28"/>
    </row>
    <row r="21" spans="2:11" ht="15.75" customHeight="1" x14ac:dyDescent="0.25">
      <c r="B21" s="123" t="s">
        <v>50</v>
      </c>
      <c r="C21" s="18" t="s">
        <v>60</v>
      </c>
      <c r="D21" s="127">
        <f>-(((F10+G10)/C10)-D10)</f>
        <v>52.328653477983408</v>
      </c>
      <c r="E21" s="20"/>
      <c r="F21" s="32"/>
      <c r="G21" s="32"/>
      <c r="H21" s="28"/>
    </row>
    <row r="22" spans="2:11" ht="15.75" customHeight="1" thickBot="1" x14ac:dyDescent="0.25">
      <c r="B22" s="23"/>
      <c r="C22" s="36"/>
      <c r="D22" s="36"/>
      <c r="E22" s="37"/>
      <c r="F22" s="32"/>
      <c r="G22" s="32"/>
      <c r="H22" s="28"/>
    </row>
    <row r="23" spans="2:11" ht="15.75" customHeight="1" x14ac:dyDescent="0.2">
      <c r="B23" s="28"/>
      <c r="C23" s="33"/>
      <c r="D23" s="33"/>
      <c r="E23" s="33"/>
      <c r="F23" s="33"/>
      <c r="G23" s="34"/>
      <c r="H23" s="35"/>
      <c r="I23" s="32"/>
      <c r="J23" s="32"/>
      <c r="K23" s="28"/>
    </row>
    <row r="24" spans="2:11" ht="15.75" customHeight="1" x14ac:dyDescent="0.2">
      <c r="B24" s="28"/>
      <c r="C24" s="33"/>
      <c r="D24" s="33"/>
      <c r="E24" s="33"/>
      <c r="F24" s="33"/>
      <c r="G24" s="34"/>
      <c r="H24" s="35"/>
      <c r="I24" s="32"/>
      <c r="J24" s="32"/>
      <c r="K24" s="28"/>
    </row>
    <row r="25" spans="2:11" ht="15.75" customHeight="1" x14ac:dyDescent="0.2">
      <c r="B25" s="28"/>
      <c r="C25" s="33"/>
      <c r="D25" s="33"/>
      <c r="E25" s="33"/>
      <c r="F25" s="33"/>
      <c r="G25" s="34"/>
      <c r="H25" s="35"/>
      <c r="I25" s="32"/>
      <c r="J25" s="32"/>
      <c r="K25" s="28"/>
    </row>
    <row r="26" spans="2:11" ht="15.7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2:11" ht="15.75" customHeight="1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2:11" ht="15.75" customHeight="1" x14ac:dyDescent="0.2"/>
    <row r="29" spans="2:11" ht="15.75" customHeight="1" x14ac:dyDescent="0.2">
      <c r="G29" s="26"/>
    </row>
    <row r="30" spans="2:11" ht="15.75" customHeight="1" x14ac:dyDescent="0.2"/>
    <row r="31" spans="2:11" ht="15.75" customHeight="1" x14ac:dyDescent="0.2"/>
    <row r="32" spans="2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scale="7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8" width="9.140625" customWidth="1"/>
  </cols>
  <sheetData>
    <row r="1" spans="2:7" ht="16.5" customHeight="1" x14ac:dyDescent="0.25">
      <c r="C1" s="1" t="s">
        <v>332</v>
      </c>
    </row>
    <row r="2" spans="2:7" ht="15.75" customHeight="1" x14ac:dyDescent="0.2">
      <c r="C2" s="3" t="s">
        <v>8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3"/>
    </row>
    <row r="6" spans="2:7" ht="15.75" customHeight="1" x14ac:dyDescent="0.2">
      <c r="B6" s="4"/>
      <c r="C6" s="5"/>
      <c r="D6" s="5"/>
      <c r="E6" s="38"/>
      <c r="F6" s="13"/>
    </row>
    <row r="7" spans="2:7" ht="15.75" customHeight="1" x14ac:dyDescent="0.2">
      <c r="B7" s="7"/>
      <c r="C7" s="12" t="s">
        <v>230</v>
      </c>
      <c r="D7" s="237">
        <v>435000</v>
      </c>
      <c r="E7" s="39"/>
      <c r="F7" s="13"/>
    </row>
    <row r="8" spans="2:7" ht="15.75" customHeight="1" x14ac:dyDescent="0.2">
      <c r="B8" s="7"/>
      <c r="C8" s="12" t="s">
        <v>231</v>
      </c>
      <c r="D8" s="73">
        <v>5</v>
      </c>
      <c r="E8" s="39"/>
      <c r="F8" s="13"/>
    </row>
    <row r="9" spans="2:7" ht="15.75" customHeight="1" x14ac:dyDescent="0.2">
      <c r="B9" s="7"/>
      <c r="C9" s="12" t="s">
        <v>64</v>
      </c>
      <c r="D9" s="125">
        <v>16</v>
      </c>
      <c r="E9" s="39"/>
      <c r="F9" s="13"/>
    </row>
    <row r="10" spans="2:7" ht="15.75" customHeight="1" x14ac:dyDescent="0.2">
      <c r="B10" s="7"/>
      <c r="C10" s="12" t="s">
        <v>42</v>
      </c>
      <c r="D10" s="238">
        <v>5</v>
      </c>
      <c r="E10" s="41"/>
      <c r="F10" s="44"/>
    </row>
    <row r="11" spans="2:7" ht="15.75" customHeight="1" x14ac:dyDescent="0.2">
      <c r="B11" s="7"/>
      <c r="C11" s="12" t="s">
        <v>37</v>
      </c>
      <c r="D11" s="237">
        <v>295000</v>
      </c>
      <c r="E11" s="74"/>
      <c r="F11" s="45"/>
    </row>
    <row r="12" spans="2:7" ht="15.75" customHeight="1" x14ac:dyDescent="0.2">
      <c r="B12" s="7"/>
      <c r="C12" s="12" t="s">
        <v>7</v>
      </c>
      <c r="D12" s="121">
        <v>0.24</v>
      </c>
      <c r="E12" s="74"/>
      <c r="F12" s="45"/>
    </row>
    <row r="13" spans="2:7" ht="15.75" customHeight="1" x14ac:dyDescent="0.2">
      <c r="B13" s="7"/>
      <c r="C13" s="12" t="s">
        <v>177</v>
      </c>
      <c r="D13" s="121">
        <v>0.12</v>
      </c>
      <c r="E13" s="74"/>
      <c r="F13" s="45"/>
    </row>
    <row r="14" spans="2:7" ht="15.75" customHeight="1" thickBot="1" x14ac:dyDescent="0.25">
      <c r="B14" s="9"/>
      <c r="C14" s="10"/>
      <c r="D14" s="10"/>
      <c r="E14" s="40"/>
      <c r="F14" s="13"/>
    </row>
    <row r="15" spans="2:7" ht="15.75" customHeight="1" x14ac:dyDescent="0.2"/>
    <row r="16" spans="2:7" ht="15.75" customHeight="1" x14ac:dyDescent="0.2">
      <c r="C16" s="2" t="s">
        <v>2</v>
      </c>
      <c r="D16" s="313"/>
    </row>
    <row r="17" spans="2:8" ht="15.75" customHeight="1" thickBot="1" x14ac:dyDescent="0.25"/>
    <row r="18" spans="2:8" ht="15.75" customHeight="1" x14ac:dyDescent="0.2">
      <c r="B18" s="14"/>
      <c r="C18" s="55"/>
      <c r="D18" s="55"/>
      <c r="E18" s="16"/>
      <c r="F18" s="28"/>
    </row>
    <row r="19" spans="2:8" ht="15.75" customHeight="1" x14ac:dyDescent="0.2">
      <c r="B19" s="17"/>
      <c r="C19" s="18" t="s">
        <v>232</v>
      </c>
      <c r="D19" s="209">
        <f>PMT(D13,D8,-D7)</f>
        <v>120673.23339435627</v>
      </c>
      <c r="E19" s="20"/>
      <c r="F19" s="28"/>
    </row>
    <row r="20" spans="2:8" ht="15.75" customHeight="1" x14ac:dyDescent="0.2">
      <c r="B20" s="17"/>
      <c r="C20" s="18"/>
      <c r="D20" s="215"/>
      <c r="E20" s="20"/>
      <c r="F20" s="28"/>
    </row>
    <row r="21" spans="2:8" ht="15.75" customHeight="1" x14ac:dyDescent="0.25">
      <c r="B21" s="17"/>
      <c r="C21" s="18" t="s">
        <v>361</v>
      </c>
      <c r="D21" s="239">
        <f>(D19+(D11*(1-D12))-((D7/D8)*D12))/((D9-D10)*(1-D12))</f>
        <v>38755.171458655059</v>
      </c>
      <c r="E21" s="20"/>
      <c r="F21" s="28"/>
    </row>
    <row r="22" spans="2:8" ht="15.75" customHeight="1" thickBot="1" x14ac:dyDescent="0.25">
      <c r="B22" s="23"/>
      <c r="C22" s="36"/>
      <c r="D22" s="49"/>
      <c r="E22" s="42"/>
      <c r="F22" s="28"/>
    </row>
    <row r="23" spans="2:8" ht="15.75" customHeight="1" x14ac:dyDescent="0.2">
      <c r="B23" s="28"/>
      <c r="C23" s="33"/>
      <c r="D23" s="34"/>
      <c r="E23" s="35"/>
      <c r="F23" s="32"/>
      <c r="G23" s="32"/>
      <c r="H23" s="28"/>
    </row>
    <row r="24" spans="2:8" ht="15.75" customHeight="1" x14ac:dyDescent="0.2">
      <c r="B24" s="28"/>
      <c r="C24" s="33"/>
      <c r="D24" s="34"/>
      <c r="E24" s="35"/>
      <c r="F24" s="32"/>
      <c r="G24" s="32"/>
      <c r="H24" s="28"/>
    </row>
    <row r="25" spans="2:8" ht="15.75" customHeight="1" x14ac:dyDescent="0.2">
      <c r="B25" s="28"/>
      <c r="C25" s="33"/>
      <c r="D25" s="34"/>
      <c r="E25" s="35"/>
      <c r="F25" s="32"/>
      <c r="G25" s="32"/>
      <c r="H25" s="28"/>
    </row>
    <row r="26" spans="2:8" ht="15.75" customHeight="1" x14ac:dyDescent="0.2">
      <c r="B26" s="28"/>
      <c r="C26" s="28"/>
      <c r="D26" s="28"/>
      <c r="E26" s="28"/>
      <c r="F26" s="28"/>
      <c r="G26" s="28"/>
      <c r="H26" s="28"/>
    </row>
    <row r="27" spans="2:8" ht="15.75" customHeight="1" x14ac:dyDescent="0.2">
      <c r="B27" s="13"/>
      <c r="C27" s="13"/>
      <c r="D27" s="13"/>
      <c r="E27" s="13"/>
      <c r="F27" s="13"/>
      <c r="G27" s="13"/>
      <c r="H27" s="13"/>
    </row>
    <row r="28" spans="2:8" ht="15.75" customHeight="1" x14ac:dyDescent="0.2"/>
    <row r="29" spans="2:8" ht="15.75" customHeight="1" x14ac:dyDescent="0.2">
      <c r="D29" s="26"/>
    </row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28515625" customWidth="1"/>
    <col min="4" max="4" width="18.140625" customWidth="1"/>
    <col min="5" max="5" width="16.7109375" bestFit="1" customWidth="1"/>
    <col min="6" max="6" width="3.140625" customWidth="1"/>
  </cols>
  <sheetData>
    <row r="1" spans="1:10" ht="18" x14ac:dyDescent="0.25">
      <c r="A1" s="3"/>
      <c r="B1" s="3"/>
      <c r="C1" s="1" t="s">
        <v>332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10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162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91"/>
      <c r="C6" s="93"/>
      <c r="D6" s="216"/>
      <c r="E6" s="94"/>
      <c r="F6" s="3"/>
      <c r="G6" s="3"/>
      <c r="H6" s="3"/>
      <c r="I6" s="3"/>
      <c r="J6" s="3"/>
    </row>
    <row r="7" spans="1:10" ht="15.75" customHeight="1" x14ac:dyDescent="0.2">
      <c r="A7" s="3"/>
      <c r="B7" s="95"/>
      <c r="C7" s="96" t="s">
        <v>163</v>
      </c>
      <c r="D7" s="125">
        <v>435000</v>
      </c>
      <c r="E7" s="97"/>
      <c r="F7" s="3"/>
      <c r="G7" s="3"/>
      <c r="H7" s="3"/>
      <c r="I7" s="3"/>
      <c r="J7" s="3"/>
    </row>
    <row r="8" spans="1:10" ht="15.75" customHeight="1" x14ac:dyDescent="0.2">
      <c r="A8" s="3"/>
      <c r="B8" s="95"/>
      <c r="C8" s="96" t="s">
        <v>90</v>
      </c>
      <c r="D8" s="125">
        <v>2800000</v>
      </c>
      <c r="E8" s="97"/>
      <c r="F8" s="3"/>
      <c r="G8" s="3"/>
      <c r="H8" s="3"/>
      <c r="I8" s="3"/>
      <c r="J8" s="3"/>
    </row>
    <row r="9" spans="1:10" ht="15.75" customHeight="1" x14ac:dyDescent="0.2">
      <c r="A9" s="3"/>
      <c r="B9" s="95"/>
      <c r="C9" s="96" t="s">
        <v>164</v>
      </c>
      <c r="D9" s="125">
        <v>215000</v>
      </c>
      <c r="E9" s="97"/>
      <c r="F9" s="3"/>
      <c r="G9" s="3"/>
      <c r="H9" s="3"/>
      <c r="I9" s="3"/>
      <c r="J9" s="3"/>
    </row>
    <row r="10" spans="1:10" ht="15.75" customHeight="1" x14ac:dyDescent="0.2">
      <c r="A10" s="3"/>
      <c r="B10" s="95"/>
      <c r="C10" s="96" t="s">
        <v>165</v>
      </c>
      <c r="D10" s="125">
        <v>2155000</v>
      </c>
      <c r="E10" s="97"/>
      <c r="F10" s="3"/>
      <c r="G10" s="3"/>
      <c r="H10" s="3"/>
      <c r="I10" s="3"/>
      <c r="J10" s="3"/>
    </row>
    <row r="11" spans="1:10" ht="15.75" customHeight="1" x14ac:dyDescent="0.2">
      <c r="A11" s="3"/>
      <c r="B11" s="95"/>
      <c r="C11" s="96" t="s">
        <v>166</v>
      </c>
      <c r="D11" s="217">
        <v>10</v>
      </c>
      <c r="E11" s="97"/>
      <c r="F11" s="3"/>
      <c r="G11" s="3"/>
      <c r="H11" s="3"/>
      <c r="I11" s="3"/>
      <c r="J11" s="3"/>
    </row>
    <row r="12" spans="1:10" ht="15.75" customHeight="1" x14ac:dyDescent="0.2">
      <c r="A12" s="3"/>
      <c r="B12" s="95"/>
      <c r="C12" s="96" t="s">
        <v>17</v>
      </c>
      <c r="D12" s="121">
        <v>0.09</v>
      </c>
      <c r="E12" s="97"/>
      <c r="F12" s="3"/>
      <c r="G12" s="3"/>
      <c r="H12" s="3"/>
      <c r="I12" s="3"/>
      <c r="J12" s="3"/>
    </row>
    <row r="13" spans="1:10" ht="15.75" customHeight="1" thickBot="1" x14ac:dyDescent="0.25">
      <c r="A13" s="3"/>
      <c r="B13" s="98"/>
      <c r="C13" s="99"/>
      <c r="D13" s="218"/>
      <c r="E13" s="40"/>
      <c r="F13" s="3"/>
      <c r="G13" s="3"/>
      <c r="H13" s="3"/>
      <c r="I13" s="3"/>
      <c r="J13" s="3"/>
    </row>
    <row r="14" spans="1:10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customHeight="1" x14ac:dyDescent="0.2">
      <c r="A15" s="3"/>
      <c r="B15" s="3"/>
      <c r="C15" s="2" t="s">
        <v>167</v>
      </c>
      <c r="D15" s="3"/>
      <c r="E15" s="3"/>
      <c r="F15" s="3"/>
      <c r="G15" s="3"/>
      <c r="H15" s="3"/>
      <c r="I15" s="3"/>
      <c r="J15" s="3"/>
    </row>
    <row r="16" spans="1:10" ht="15.75" customHeight="1" thickBo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ht="15.75" customHeight="1" x14ac:dyDescent="0.2">
      <c r="A17" s="3"/>
      <c r="B17" s="100"/>
      <c r="C17" s="101"/>
      <c r="D17" s="101"/>
      <c r="E17" s="219"/>
      <c r="F17" s="58"/>
      <c r="G17" s="3"/>
      <c r="H17" s="3"/>
      <c r="I17" s="3"/>
      <c r="J17" s="3"/>
      <c r="K17" s="3"/>
    </row>
    <row r="18" spans="1:11" ht="15.75" customHeight="1" x14ac:dyDescent="0.2">
      <c r="A18" s="3"/>
      <c r="B18" s="102"/>
      <c r="C18" s="220" t="s">
        <v>168</v>
      </c>
      <c r="D18" s="220" t="s">
        <v>333</v>
      </c>
      <c r="E18" s="221" t="s">
        <v>18</v>
      </c>
      <c r="F18" s="105"/>
      <c r="G18" s="3"/>
      <c r="H18" s="3"/>
      <c r="I18" s="3"/>
      <c r="J18" s="3"/>
      <c r="K18" s="3"/>
    </row>
    <row r="19" spans="1:11" ht="15.75" customHeight="1" x14ac:dyDescent="0.2">
      <c r="A19" s="3"/>
      <c r="B19" s="102"/>
      <c r="C19" s="222">
        <v>0</v>
      </c>
      <c r="D19" s="288">
        <f>MAX(($D$8-(C19*$D$9)),$D$10)</f>
        <v>2800000</v>
      </c>
      <c r="E19" s="209">
        <f>PV($D$12,$D$11-C19,-$D$7)-D19</f>
        <v>-8318.8999958294444</v>
      </c>
      <c r="F19" s="105"/>
      <c r="G19" s="3"/>
      <c r="H19" s="3"/>
      <c r="I19" s="3"/>
      <c r="J19" s="3"/>
      <c r="K19" s="3"/>
    </row>
    <row r="20" spans="1:11" ht="15.75" customHeight="1" x14ac:dyDescent="0.2">
      <c r="A20" s="3"/>
      <c r="B20" s="102"/>
      <c r="C20" s="222">
        <v>1</v>
      </c>
      <c r="D20" s="288">
        <f>MAX(($D$8-(C20*$D$9)),$D$10)</f>
        <v>2585000</v>
      </c>
      <c r="E20" s="209">
        <f>(PV($D$12,$D$11-C20,-$D$7)-D20)/(1+$D$12)^C20</f>
        <v>21038.898169307824</v>
      </c>
      <c r="F20" s="105"/>
      <c r="G20" s="3"/>
      <c r="H20" s="3"/>
      <c r="I20" s="3"/>
      <c r="J20" s="3"/>
      <c r="K20" s="3"/>
    </row>
    <row r="21" spans="1:11" ht="15.75" customHeight="1" x14ac:dyDescent="0.2">
      <c r="A21" s="3"/>
      <c r="B21" s="102"/>
      <c r="C21" s="222">
        <v>2</v>
      </c>
      <c r="D21" s="288">
        <f t="shared" ref="D21:D25" si="0">MAX(($D$8-(C21*$D$9)),$D$10)</f>
        <v>2370000</v>
      </c>
      <c r="E21" s="209">
        <f t="shared" ref="E21:E25" si="1">(PV($D$12,$D$11-C21,-$D$7)-D21)/(1+$D$12)^C21</f>
        <v>31686.150084129582</v>
      </c>
      <c r="F21" s="105"/>
      <c r="G21" s="3"/>
      <c r="H21" s="3"/>
      <c r="I21" s="3"/>
      <c r="J21" s="3"/>
      <c r="K21" s="3"/>
    </row>
    <row r="22" spans="1:11" ht="15.75" customHeight="1" x14ac:dyDescent="0.2">
      <c r="A22" s="3"/>
      <c r="B22" s="102"/>
      <c r="C22" s="222">
        <v>3</v>
      </c>
      <c r="D22" s="288">
        <f t="shared" si="0"/>
        <v>2155000</v>
      </c>
      <c r="E22" s="209">
        <f t="shared" si="1"/>
        <v>26512.520767720067</v>
      </c>
      <c r="F22" s="105"/>
      <c r="G22" s="3"/>
      <c r="H22" s="3"/>
      <c r="I22" s="3"/>
      <c r="J22" s="3"/>
      <c r="K22" s="3"/>
    </row>
    <row r="23" spans="1:11" ht="15.75" customHeight="1" x14ac:dyDescent="0.2">
      <c r="A23" s="3"/>
      <c r="B23" s="102"/>
      <c r="C23" s="222">
        <v>4</v>
      </c>
      <c r="D23" s="288">
        <f t="shared" si="0"/>
        <v>2155000</v>
      </c>
      <c r="E23" s="209">
        <f t="shared" si="1"/>
        <v>-144253.37635954548</v>
      </c>
      <c r="F23" s="105"/>
      <c r="G23" s="3"/>
      <c r="H23" s="3"/>
      <c r="I23" s="3"/>
      <c r="J23" s="3"/>
      <c r="K23" s="3"/>
    </row>
    <row r="24" spans="1:11" ht="15.75" customHeight="1" x14ac:dyDescent="0.2">
      <c r="A24" s="3"/>
      <c r="B24" s="102"/>
      <c r="C24" s="222">
        <v>5</v>
      </c>
      <c r="D24" s="288">
        <f t="shared" si="0"/>
        <v>2155000</v>
      </c>
      <c r="E24" s="209">
        <f t="shared" si="1"/>
        <v>-300919.33702676167</v>
      </c>
      <c r="F24" s="105"/>
      <c r="G24" s="3"/>
      <c r="H24" s="3"/>
      <c r="I24" s="3"/>
      <c r="J24" s="3"/>
      <c r="K24" s="3"/>
    </row>
    <row r="25" spans="1:11" ht="15.75" customHeight="1" x14ac:dyDescent="0.2">
      <c r="A25" s="3"/>
      <c r="B25" s="102"/>
      <c r="C25" s="222">
        <v>6</v>
      </c>
      <c r="D25" s="288">
        <f t="shared" si="0"/>
        <v>2155000</v>
      </c>
      <c r="E25" s="209">
        <f t="shared" si="1"/>
        <v>-444649.57617099688</v>
      </c>
      <c r="F25" s="105"/>
      <c r="G25" s="3"/>
      <c r="H25" s="3"/>
      <c r="I25" s="3"/>
      <c r="J25" s="3"/>
      <c r="K25" s="3"/>
    </row>
    <row r="26" spans="1:11" ht="15.75" customHeight="1" x14ac:dyDescent="0.25">
      <c r="A26" s="3"/>
      <c r="B26" s="102"/>
      <c r="C26" s="222"/>
      <c r="D26" s="222"/>
      <c r="E26" s="224"/>
      <c r="F26" s="105"/>
      <c r="G26" s="3"/>
      <c r="H26" s="3"/>
      <c r="I26" s="3"/>
      <c r="J26" s="3"/>
      <c r="K26" s="3"/>
    </row>
    <row r="27" spans="1:11" ht="15.75" customHeight="1" x14ac:dyDescent="0.25">
      <c r="A27" s="3"/>
      <c r="B27" s="102"/>
      <c r="C27" s="53" t="s">
        <v>169</v>
      </c>
      <c r="D27" s="53"/>
      <c r="E27" s="225"/>
      <c r="F27" s="105"/>
      <c r="G27" s="3"/>
      <c r="H27" s="3"/>
      <c r="I27" s="3"/>
      <c r="J27" s="3"/>
      <c r="K27" s="3"/>
    </row>
    <row r="28" spans="1:11" ht="15.75" customHeight="1" x14ac:dyDescent="0.25">
      <c r="A28" s="3"/>
      <c r="B28" s="102"/>
      <c r="C28" s="53" t="s">
        <v>170</v>
      </c>
      <c r="D28" s="53"/>
      <c r="E28" s="273">
        <f>MAX(E19:E25)</f>
        <v>31686.150084129582</v>
      </c>
      <c r="F28" s="105"/>
      <c r="G28" s="3"/>
      <c r="H28" s="3"/>
      <c r="I28" s="3"/>
      <c r="J28" s="3"/>
      <c r="K28" s="3"/>
    </row>
    <row r="29" spans="1:11" ht="15.75" customHeight="1" x14ac:dyDescent="0.25">
      <c r="A29" s="3"/>
      <c r="B29" s="102"/>
      <c r="C29" s="53" t="s">
        <v>331</v>
      </c>
      <c r="D29" s="53"/>
      <c r="E29" s="287" t="str">
        <f>IF(E28&gt;=0,IF(E28=E19,"Today",IF(E28=E20,"Year 1",IF(E28=E21,"Year 2",IF(E28=E22, "Year 3",IF(E28=E23,"Year 4",IF(E28=E24, "Year 5",IF(E28=E25,"Year 6","Never"))))))), "Never")</f>
        <v>Year 2</v>
      </c>
      <c r="F29" s="105"/>
      <c r="G29" s="3"/>
      <c r="H29" s="3"/>
      <c r="I29" s="3"/>
      <c r="J29" s="3"/>
      <c r="K29" s="3"/>
    </row>
    <row r="30" spans="1:11" ht="15.75" customHeight="1" thickBot="1" x14ac:dyDescent="0.25">
      <c r="A30" s="3"/>
      <c r="B30" s="106"/>
      <c r="C30" s="226"/>
      <c r="D30" s="226"/>
      <c r="E30" s="227"/>
      <c r="F30" s="108"/>
      <c r="G30" s="3"/>
      <c r="H30" s="3"/>
      <c r="I30" s="3"/>
      <c r="J30" s="3"/>
      <c r="K30" s="3"/>
    </row>
    <row r="31" spans="1:1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1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1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1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ht="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</sheetData>
  <phoneticPr fontId="32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5703125" bestFit="1" customWidth="1"/>
    <col min="4" max="4" width="20.42578125" bestFit="1" customWidth="1"/>
    <col min="5" max="5" width="3.140625" customWidth="1"/>
    <col min="6" max="8" width="9.140625" customWidth="1"/>
  </cols>
  <sheetData>
    <row r="1" spans="2:7" ht="19.5" customHeight="1" x14ac:dyDescent="0.25">
      <c r="C1" s="1" t="s">
        <v>332</v>
      </c>
    </row>
    <row r="2" spans="2:7" ht="15.75" customHeight="1" x14ac:dyDescent="0.2">
      <c r="C2" s="3" t="s">
        <v>12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4"/>
      <c r="C6" s="5"/>
      <c r="D6" s="5"/>
      <c r="E6" s="6"/>
    </row>
    <row r="7" spans="2:7" ht="15.75" customHeight="1" x14ac:dyDescent="0.2">
      <c r="B7" s="7"/>
      <c r="C7" s="228" t="s">
        <v>171</v>
      </c>
      <c r="D7" s="125"/>
      <c r="E7" s="8"/>
      <c r="G7" s="50"/>
    </row>
    <row r="8" spans="2:7" ht="15.75" customHeight="1" x14ac:dyDescent="0.2">
      <c r="B8" s="7"/>
      <c r="C8" s="12" t="s">
        <v>172</v>
      </c>
      <c r="D8" s="65">
        <v>24000000</v>
      </c>
      <c r="E8" s="8"/>
      <c r="G8" s="50"/>
    </row>
    <row r="9" spans="2:7" ht="15.75" customHeight="1" x14ac:dyDescent="0.2">
      <c r="B9" s="7"/>
      <c r="C9" s="12" t="s">
        <v>173</v>
      </c>
      <c r="D9" s="65">
        <v>8500000</v>
      </c>
      <c r="E9" s="8"/>
      <c r="G9" s="50"/>
    </row>
    <row r="10" spans="2:7" ht="15.75" customHeight="1" x14ac:dyDescent="0.2">
      <c r="B10" s="7"/>
      <c r="C10" s="12" t="s">
        <v>174</v>
      </c>
      <c r="D10" s="121">
        <v>0.5</v>
      </c>
      <c r="E10" s="8"/>
      <c r="G10" s="50"/>
    </row>
    <row r="11" spans="2:7" ht="15.75" customHeight="1" x14ac:dyDescent="0.2">
      <c r="B11" s="7"/>
      <c r="C11" s="12" t="s">
        <v>175</v>
      </c>
      <c r="D11" s="289">
        <f>1-D10</f>
        <v>0.5</v>
      </c>
      <c r="E11" s="8"/>
    </row>
    <row r="12" spans="2:7" ht="15.75" customHeight="1" x14ac:dyDescent="0.2">
      <c r="B12" s="7"/>
      <c r="C12" s="12"/>
      <c r="D12" s="65"/>
      <c r="E12" s="8"/>
    </row>
    <row r="13" spans="2:7" ht="15.75" customHeight="1" x14ac:dyDescent="0.2">
      <c r="B13" s="7"/>
      <c r="C13" s="228" t="s">
        <v>176</v>
      </c>
      <c r="D13" s="121"/>
      <c r="E13" s="8"/>
    </row>
    <row r="14" spans="2:7" ht="15.75" customHeight="1" x14ac:dyDescent="0.2">
      <c r="B14" s="7"/>
      <c r="C14" s="12" t="s">
        <v>178</v>
      </c>
      <c r="D14" s="109">
        <v>1200000</v>
      </c>
      <c r="E14" s="8"/>
    </row>
    <row r="15" spans="2:7" ht="15.75" customHeight="1" x14ac:dyDescent="0.2">
      <c r="B15" s="7"/>
      <c r="C15" s="12" t="s">
        <v>174</v>
      </c>
      <c r="D15" s="121">
        <v>0.8</v>
      </c>
      <c r="E15" s="8"/>
    </row>
    <row r="16" spans="2:7" ht="15.75" customHeight="1" x14ac:dyDescent="0.2">
      <c r="B16" s="124"/>
      <c r="C16" s="12" t="s">
        <v>175</v>
      </c>
      <c r="D16" s="289">
        <f>1-D15</f>
        <v>0.19999999999999996</v>
      </c>
      <c r="E16" s="8"/>
    </row>
    <row r="17" spans="2:8" ht="15.75" customHeight="1" x14ac:dyDescent="0.2">
      <c r="B17" s="7"/>
      <c r="C17" s="12"/>
      <c r="D17" s="121"/>
      <c r="E17" s="8"/>
    </row>
    <row r="18" spans="2:8" ht="15.75" customHeight="1" x14ac:dyDescent="0.2">
      <c r="B18" s="7"/>
      <c r="C18" s="12" t="s">
        <v>177</v>
      </c>
      <c r="D18" s="121">
        <v>0.11</v>
      </c>
      <c r="E18" s="8"/>
    </row>
    <row r="19" spans="2:8" ht="15.75" customHeight="1" thickBot="1" x14ac:dyDescent="0.25">
      <c r="B19" s="9"/>
      <c r="C19" s="52"/>
      <c r="D19" s="52"/>
      <c r="E19" s="11"/>
    </row>
    <row r="20" spans="2:8" ht="15.75" customHeight="1" x14ac:dyDescent="0.2">
      <c r="B20" s="51"/>
      <c r="E20" s="51"/>
    </row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14"/>
      <c r="C23" s="15"/>
      <c r="D23" s="15"/>
      <c r="E23" s="150"/>
    </row>
    <row r="24" spans="2:8" ht="15.75" customHeight="1" x14ac:dyDescent="0.25">
      <c r="B24" s="56"/>
      <c r="C24" s="18" t="s">
        <v>179</v>
      </c>
      <c r="D24" s="229">
        <f>(D10*D8)+(D9*D11)</f>
        <v>16250000</v>
      </c>
      <c r="E24" s="21"/>
      <c r="F24" s="29"/>
    </row>
    <row r="25" spans="2:8" ht="15.75" customHeight="1" x14ac:dyDescent="0.2">
      <c r="B25" s="123"/>
      <c r="C25" s="18"/>
      <c r="D25" s="214"/>
      <c r="E25" s="21"/>
      <c r="F25" s="29"/>
    </row>
    <row r="26" spans="2:8" ht="15.75" customHeight="1" x14ac:dyDescent="0.25">
      <c r="B26" s="56"/>
      <c r="C26" s="18" t="s">
        <v>180</v>
      </c>
      <c r="D26" s="229">
        <f>-D14+((D15*D8)+(D9*D16))/(1+D18)</f>
        <v>17628828.828828827</v>
      </c>
      <c r="E26" s="21"/>
      <c r="F26" s="29"/>
    </row>
    <row r="27" spans="2:8" ht="15.75" customHeight="1" x14ac:dyDescent="0.2">
      <c r="B27" s="56"/>
      <c r="C27" s="18"/>
      <c r="D27" s="75"/>
      <c r="E27" s="21"/>
      <c r="F27" s="29"/>
    </row>
    <row r="28" spans="2:8" ht="15.75" customHeight="1" x14ac:dyDescent="0.25">
      <c r="B28" s="56"/>
      <c r="C28" s="18" t="s">
        <v>181</v>
      </c>
      <c r="D28" s="59" t="str">
        <f>IF(D24&gt;D26,"go to market now","test market first")</f>
        <v>test market first</v>
      </c>
      <c r="E28" s="21"/>
      <c r="F28" s="29"/>
    </row>
    <row r="29" spans="2:8" ht="15.75" customHeight="1" x14ac:dyDescent="0.2">
      <c r="B29" s="56"/>
      <c r="C29" s="18" t="s">
        <v>182</v>
      </c>
      <c r="D29" s="120"/>
      <c r="E29" s="21"/>
      <c r="F29" s="29"/>
    </row>
    <row r="30" spans="2:8" ht="15.75" customHeight="1" thickBot="1" x14ac:dyDescent="0.25">
      <c r="B30" s="172"/>
      <c r="C30" s="48"/>
      <c r="D30" s="48"/>
      <c r="E30" s="47"/>
      <c r="F30" s="29"/>
    </row>
    <row r="31" spans="2:8" ht="15.75" customHeight="1" x14ac:dyDescent="0.2">
      <c r="B31" s="46"/>
      <c r="C31" s="3"/>
      <c r="D31" s="3"/>
      <c r="E31" s="46"/>
      <c r="F31" s="46"/>
      <c r="G31" s="46"/>
      <c r="H31" s="46"/>
    </row>
    <row r="32" spans="2:8" ht="15.75" customHeight="1" x14ac:dyDescent="0.2">
      <c r="B32" s="3"/>
      <c r="C32" s="3"/>
      <c r="D32" s="116"/>
      <c r="E32" s="3"/>
      <c r="F32" s="3"/>
      <c r="G32" s="3"/>
      <c r="H32" s="3"/>
    </row>
    <row r="33" spans="2:8" ht="15.75" customHeight="1" x14ac:dyDescent="0.2">
      <c r="B33" s="3"/>
      <c r="C33" s="3"/>
      <c r="D33" s="3"/>
      <c r="E33" s="3"/>
      <c r="F33" s="3"/>
      <c r="G33" s="3"/>
      <c r="H33" s="3"/>
    </row>
    <row r="34" spans="2:8" ht="15.75" customHeight="1" x14ac:dyDescent="0.2">
      <c r="B34" s="3"/>
      <c r="C34" s="3"/>
      <c r="D34" s="3"/>
      <c r="E34" s="3"/>
      <c r="F34" s="3"/>
      <c r="G34" s="3"/>
      <c r="H34" s="3"/>
    </row>
    <row r="35" spans="2:8" ht="15.75" customHeight="1" x14ac:dyDescent="0.2">
      <c r="B35" s="3"/>
      <c r="C35" s="3"/>
      <c r="D35" s="3"/>
      <c r="E35" s="3"/>
      <c r="F35" s="3"/>
      <c r="G35" s="3"/>
      <c r="H35" s="3"/>
    </row>
    <row r="36" spans="2:8" ht="15.75" customHeight="1" x14ac:dyDescent="0.2">
      <c r="B36" s="3"/>
      <c r="C36" s="3"/>
      <c r="D36" s="3"/>
      <c r="E36" s="3"/>
      <c r="F36" s="3"/>
      <c r="G36" s="3"/>
      <c r="H36" s="3"/>
    </row>
    <row r="37" spans="2:8" ht="15.75" customHeight="1" x14ac:dyDescent="0.2">
      <c r="B37" s="3"/>
      <c r="C37" s="3"/>
      <c r="D37" s="3"/>
      <c r="E37" s="3"/>
      <c r="F37" s="3"/>
      <c r="G37" s="3"/>
      <c r="H37" s="3"/>
    </row>
    <row r="38" spans="2:8" ht="15.75" customHeight="1" x14ac:dyDescent="0.2">
      <c r="B38" s="3"/>
      <c r="C38" s="3"/>
      <c r="D38" s="3"/>
      <c r="E38" s="3"/>
      <c r="F38" s="3"/>
      <c r="G38" s="3"/>
      <c r="H38" s="3"/>
    </row>
    <row r="39" spans="2:8" ht="15.75" customHeight="1" x14ac:dyDescent="0.2">
      <c r="B39" s="3"/>
      <c r="C39" s="3"/>
      <c r="D39" s="3"/>
      <c r="E39" s="3"/>
      <c r="F39" s="3"/>
      <c r="G39" s="3"/>
      <c r="H39" s="3"/>
    </row>
    <row r="40" spans="2:8" ht="15.75" customHeight="1" x14ac:dyDescent="0.2">
      <c r="B40" s="3"/>
      <c r="C40" s="3"/>
      <c r="D40" s="3"/>
      <c r="E40" s="3"/>
      <c r="F40" s="3"/>
      <c r="G40" s="3"/>
      <c r="H40" s="3"/>
    </row>
    <row r="41" spans="2:8" ht="15" x14ac:dyDescent="0.2">
      <c r="B41" s="3"/>
      <c r="C41" s="3"/>
      <c r="D41" s="3"/>
      <c r="E41" s="3"/>
      <c r="F41" s="3"/>
      <c r="G41" s="3"/>
      <c r="H41" s="3"/>
    </row>
    <row r="42" spans="2:8" ht="15" x14ac:dyDescent="0.2">
      <c r="B42" s="3"/>
      <c r="C42" s="3"/>
      <c r="D42" s="3"/>
      <c r="E42" s="3"/>
      <c r="F42" s="3"/>
      <c r="G42" s="3"/>
      <c r="H42" s="3"/>
    </row>
    <row r="43" spans="2:8" ht="15" x14ac:dyDescent="0.2">
      <c r="B43" s="3"/>
      <c r="C43" s="3"/>
      <c r="D43" s="3"/>
      <c r="E43" s="3"/>
      <c r="F43" s="3"/>
      <c r="G43" s="3"/>
      <c r="H43" s="3"/>
    </row>
    <row r="44" spans="2:8" ht="15" x14ac:dyDescent="0.2">
      <c r="B44" s="3"/>
      <c r="C44" s="3"/>
      <c r="D44" s="3"/>
      <c r="E44" s="3"/>
      <c r="F44" s="3"/>
      <c r="G44" s="3"/>
      <c r="H44" s="3"/>
    </row>
    <row r="45" spans="2:8" ht="15" x14ac:dyDescent="0.2">
      <c r="B45" s="3"/>
      <c r="C45" s="3"/>
      <c r="D45" s="3"/>
      <c r="E45" s="3"/>
      <c r="F45" s="3"/>
      <c r="G45" s="3"/>
      <c r="H45" s="3"/>
    </row>
    <row r="46" spans="2:8" ht="15" x14ac:dyDescent="0.2">
      <c r="B46" s="3"/>
      <c r="C46" s="3"/>
      <c r="D46" s="3"/>
      <c r="E46" s="3"/>
      <c r="F46" s="3"/>
      <c r="G46" s="3"/>
      <c r="H46" s="3"/>
    </row>
    <row r="47" spans="2:8" ht="15" x14ac:dyDescent="0.2">
      <c r="B47" s="3"/>
      <c r="C47" s="3"/>
      <c r="D47" s="3"/>
      <c r="E47" s="3"/>
      <c r="F47" s="3"/>
      <c r="G47" s="3"/>
      <c r="H47" s="3"/>
    </row>
    <row r="48" spans="2:8" ht="15" x14ac:dyDescent="0.2">
      <c r="B48" s="3"/>
      <c r="C48" s="3"/>
      <c r="D48" s="3"/>
      <c r="E48" s="3"/>
      <c r="F48" s="3"/>
      <c r="G48" s="3"/>
      <c r="H48" s="3"/>
    </row>
    <row r="49" spans="2:8" ht="15" x14ac:dyDescent="0.2">
      <c r="B49" s="3"/>
      <c r="C49" s="3"/>
      <c r="D49" s="3"/>
      <c r="E49" s="3"/>
      <c r="F49" s="3"/>
      <c r="G49" s="3"/>
      <c r="H49" s="3"/>
    </row>
    <row r="50" spans="2:8" ht="15" x14ac:dyDescent="0.2">
      <c r="B50" s="3"/>
      <c r="C50" s="3"/>
      <c r="D50" s="3"/>
      <c r="E50" s="3"/>
      <c r="F50" s="3"/>
      <c r="G50" s="3"/>
      <c r="H50" s="3"/>
    </row>
    <row r="51" spans="2:8" ht="15" x14ac:dyDescent="0.2">
      <c r="B51" s="3"/>
      <c r="C51" s="3"/>
      <c r="D51" s="3"/>
      <c r="E51" s="3"/>
      <c r="F51" s="3"/>
      <c r="G51" s="3"/>
      <c r="H51" s="3"/>
    </row>
    <row r="52" spans="2:8" ht="15" x14ac:dyDescent="0.2">
      <c r="B52" s="3"/>
      <c r="C52" s="3"/>
      <c r="D52" s="3"/>
      <c r="E52" s="3"/>
      <c r="F52" s="3"/>
      <c r="G52" s="3"/>
      <c r="H52" s="3"/>
    </row>
    <row r="53" spans="2:8" ht="15" x14ac:dyDescent="0.2">
      <c r="B53" s="3"/>
      <c r="C53" s="3"/>
      <c r="D53" s="3"/>
      <c r="E53" s="3"/>
      <c r="F53" s="3"/>
      <c r="G53" s="3"/>
      <c r="H53" s="3"/>
    </row>
    <row r="54" spans="2:8" ht="15" x14ac:dyDescent="0.2">
      <c r="B54" s="3"/>
      <c r="C54" s="3"/>
      <c r="D54" s="3"/>
      <c r="E54" s="3"/>
      <c r="F54" s="3"/>
      <c r="G54" s="3"/>
      <c r="H54" s="3"/>
    </row>
    <row r="55" spans="2:8" ht="15" x14ac:dyDescent="0.2">
      <c r="B55" s="3"/>
      <c r="C55" s="3"/>
      <c r="D55" s="3"/>
      <c r="E55" s="3"/>
      <c r="F55" s="3"/>
      <c r="G55" s="3"/>
      <c r="H55" s="3"/>
    </row>
    <row r="56" spans="2:8" ht="15" x14ac:dyDescent="0.2">
      <c r="B56" s="3"/>
      <c r="C56" s="3"/>
      <c r="D56" s="3"/>
      <c r="E56" s="3"/>
      <c r="F56" s="3"/>
      <c r="G56" s="3"/>
      <c r="H56" s="3"/>
    </row>
    <row r="57" spans="2:8" ht="15" x14ac:dyDescent="0.2">
      <c r="B57" s="3"/>
      <c r="C57" s="3"/>
      <c r="D57" s="3"/>
      <c r="E57" s="3"/>
      <c r="F57" s="3"/>
      <c r="G57" s="3"/>
      <c r="H57" s="3"/>
    </row>
    <row r="58" spans="2:8" ht="15" x14ac:dyDescent="0.2">
      <c r="B58" s="3"/>
      <c r="C58" s="3"/>
      <c r="D58" s="3"/>
      <c r="E58" s="3"/>
      <c r="F58" s="3"/>
      <c r="G58" s="3"/>
      <c r="H58" s="3"/>
    </row>
    <row r="59" spans="2:8" ht="15" x14ac:dyDescent="0.2">
      <c r="B59" s="3"/>
      <c r="C59" s="3"/>
      <c r="D59" s="3"/>
      <c r="E59" s="3"/>
      <c r="F59" s="3"/>
      <c r="G59" s="3"/>
      <c r="H59" s="3"/>
    </row>
    <row r="60" spans="2:8" ht="15" x14ac:dyDescent="0.2">
      <c r="B60" s="3"/>
      <c r="C60" s="3"/>
      <c r="D60" s="3"/>
      <c r="E60" s="3"/>
      <c r="F60" s="3"/>
      <c r="G60" s="3"/>
      <c r="H60" s="3"/>
    </row>
    <row r="61" spans="2:8" ht="15" x14ac:dyDescent="0.2">
      <c r="B61" s="3"/>
      <c r="C61" s="3"/>
      <c r="D61" s="3"/>
      <c r="E61" s="3"/>
      <c r="F61" s="3"/>
      <c r="G61" s="3"/>
      <c r="H61" s="3"/>
    </row>
    <row r="62" spans="2:8" ht="15" x14ac:dyDescent="0.2">
      <c r="B62" s="3"/>
      <c r="C62" s="3"/>
      <c r="D62" s="3"/>
      <c r="E62" s="3"/>
      <c r="F62" s="3"/>
      <c r="G62" s="3"/>
      <c r="H62" s="3"/>
    </row>
    <row r="63" spans="2:8" ht="15" x14ac:dyDescent="0.2">
      <c r="B63" s="3"/>
      <c r="C63" s="3"/>
      <c r="D63" s="3"/>
      <c r="E63" s="3"/>
      <c r="F63" s="3"/>
      <c r="G63" s="3"/>
      <c r="H63" s="3"/>
    </row>
    <row r="64" spans="2:8" ht="15" x14ac:dyDescent="0.2">
      <c r="B64" s="3"/>
      <c r="C64" s="3"/>
      <c r="D64" s="3"/>
      <c r="E64" s="3"/>
      <c r="F64" s="3"/>
      <c r="G64" s="3"/>
      <c r="H64" s="3"/>
    </row>
    <row r="65" spans="2:8" ht="15" x14ac:dyDescent="0.2">
      <c r="B65" s="3"/>
      <c r="C65" s="3"/>
      <c r="D65" s="3"/>
      <c r="E65" s="3"/>
      <c r="F65" s="3"/>
      <c r="G65" s="3"/>
      <c r="H65" s="3"/>
    </row>
    <row r="66" spans="2:8" ht="15" x14ac:dyDescent="0.2">
      <c r="B66" s="3"/>
      <c r="C66" s="3"/>
      <c r="D66" s="3"/>
      <c r="E66" s="3"/>
      <c r="F66" s="3"/>
      <c r="G66" s="3"/>
      <c r="H66" s="3"/>
    </row>
    <row r="67" spans="2:8" ht="15" x14ac:dyDescent="0.2">
      <c r="B67" s="3"/>
      <c r="C67" s="3"/>
      <c r="D67" s="3"/>
      <c r="E67" s="3"/>
      <c r="F67" s="3"/>
      <c r="G67" s="3"/>
      <c r="H67" s="3"/>
    </row>
    <row r="68" spans="2:8" ht="15" x14ac:dyDescent="0.2">
      <c r="B68" s="3"/>
      <c r="C68" s="3"/>
      <c r="D68" s="3"/>
      <c r="E68" s="3"/>
      <c r="F68" s="3"/>
      <c r="G68" s="3"/>
      <c r="H68" s="3"/>
    </row>
    <row r="69" spans="2:8" ht="15" x14ac:dyDescent="0.2">
      <c r="B69" s="3"/>
      <c r="C69" s="3"/>
      <c r="D69" s="3"/>
      <c r="E69" s="3"/>
      <c r="F69" s="3"/>
      <c r="G69" s="3"/>
      <c r="H69" s="3"/>
    </row>
    <row r="70" spans="2:8" ht="15" x14ac:dyDescent="0.2">
      <c r="B70" s="3"/>
      <c r="C70" s="3"/>
      <c r="D70" s="3"/>
      <c r="E70" s="3"/>
      <c r="F70" s="3"/>
      <c r="G70" s="3"/>
      <c r="H70" s="3"/>
    </row>
    <row r="71" spans="2:8" ht="15" x14ac:dyDescent="0.2">
      <c r="B71" s="3"/>
      <c r="C71" s="3"/>
      <c r="D71" s="3"/>
      <c r="E71" s="3"/>
      <c r="F71" s="3"/>
      <c r="G71" s="3"/>
      <c r="H71" s="3"/>
    </row>
    <row r="72" spans="2:8" ht="15" x14ac:dyDescent="0.2">
      <c r="B72" s="3"/>
      <c r="C72" s="3"/>
      <c r="D72" s="3"/>
      <c r="E72" s="3"/>
      <c r="F72" s="3"/>
      <c r="G72" s="3"/>
      <c r="H72" s="3"/>
    </row>
    <row r="73" spans="2:8" ht="15" x14ac:dyDescent="0.2">
      <c r="B73" s="3"/>
      <c r="C73" s="3"/>
      <c r="D73" s="3"/>
      <c r="E73" s="3"/>
      <c r="F73" s="3"/>
      <c r="G73" s="3"/>
      <c r="H73" s="3"/>
    </row>
    <row r="74" spans="2:8" ht="15" x14ac:dyDescent="0.2">
      <c r="B74" s="3"/>
      <c r="C74" s="3"/>
      <c r="D74" s="3"/>
      <c r="E74" s="3"/>
      <c r="F74" s="3"/>
      <c r="G74" s="3"/>
      <c r="H74" s="3"/>
    </row>
    <row r="75" spans="2:8" ht="15" x14ac:dyDescent="0.2">
      <c r="B75" s="3"/>
      <c r="C75" s="3"/>
      <c r="D75" s="3"/>
      <c r="E75" s="3"/>
      <c r="F75" s="3"/>
      <c r="G75" s="3"/>
      <c r="H75" s="3"/>
    </row>
    <row r="76" spans="2:8" ht="15" x14ac:dyDescent="0.2">
      <c r="B76" s="3"/>
      <c r="C76" s="3"/>
      <c r="D76" s="3"/>
      <c r="E76" s="3"/>
      <c r="F76" s="3"/>
      <c r="G76" s="3"/>
      <c r="H76" s="3"/>
    </row>
    <row r="77" spans="2:8" ht="15" x14ac:dyDescent="0.2">
      <c r="B77" s="3"/>
      <c r="C77" s="3"/>
      <c r="D77" s="3"/>
      <c r="E77" s="3"/>
      <c r="F77" s="3"/>
      <c r="G77" s="3"/>
      <c r="H77" s="3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5703125" bestFit="1" customWidth="1"/>
    <col min="4" max="4" width="26.7109375" bestFit="1" customWidth="1"/>
    <col min="5" max="5" width="3.140625" customWidth="1"/>
    <col min="6" max="8" width="9.140625" customWidth="1"/>
  </cols>
  <sheetData>
    <row r="1" spans="2:7" ht="19.5" customHeight="1" x14ac:dyDescent="0.25">
      <c r="C1" s="1" t="s">
        <v>332</v>
      </c>
    </row>
    <row r="2" spans="2:7" ht="15.75" customHeight="1" x14ac:dyDescent="0.2">
      <c r="C2" s="3" t="s">
        <v>11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4"/>
      <c r="C6" s="5"/>
      <c r="D6" s="5"/>
      <c r="E6" s="6"/>
    </row>
    <row r="7" spans="2:7" ht="15.75" customHeight="1" x14ac:dyDescent="0.2">
      <c r="B7" s="7"/>
      <c r="C7" s="228" t="s">
        <v>171</v>
      </c>
      <c r="D7" s="125"/>
      <c r="E7" s="8"/>
      <c r="G7" s="50"/>
    </row>
    <row r="8" spans="2:7" ht="15.75" customHeight="1" x14ac:dyDescent="0.2">
      <c r="B8" s="7"/>
      <c r="C8" s="12" t="s">
        <v>174</v>
      </c>
      <c r="D8" s="121">
        <v>0.5</v>
      </c>
      <c r="E8" s="8"/>
      <c r="G8" s="50"/>
    </row>
    <row r="9" spans="2:7" ht="15.75" customHeight="1" x14ac:dyDescent="0.2">
      <c r="B9" s="7"/>
      <c r="C9" s="12"/>
      <c r="D9" s="65"/>
      <c r="E9" s="8"/>
    </row>
    <row r="10" spans="2:7" ht="15.75" customHeight="1" x14ac:dyDescent="0.2">
      <c r="B10" s="7"/>
      <c r="C10" s="228" t="s">
        <v>185</v>
      </c>
      <c r="D10" s="121"/>
      <c r="E10" s="8"/>
    </row>
    <row r="11" spans="2:7" ht="15.75" customHeight="1" x14ac:dyDescent="0.2">
      <c r="B11" s="7"/>
      <c r="C11" s="12" t="s">
        <v>186</v>
      </c>
      <c r="D11" s="109">
        <v>155000</v>
      </c>
      <c r="E11" s="8"/>
    </row>
    <row r="12" spans="2:7" ht="15.75" customHeight="1" x14ac:dyDescent="0.2">
      <c r="B12" s="7"/>
      <c r="C12" s="12" t="s">
        <v>174</v>
      </c>
      <c r="D12" s="121">
        <v>0.65</v>
      </c>
      <c r="E12" s="8"/>
    </row>
    <row r="13" spans="2:7" ht="15.75" customHeight="1" x14ac:dyDescent="0.2">
      <c r="B13" s="7"/>
      <c r="C13" s="12"/>
      <c r="D13" s="121"/>
      <c r="E13" s="8"/>
    </row>
    <row r="14" spans="2:7" ht="15.75" customHeight="1" x14ac:dyDescent="0.2">
      <c r="B14" s="7"/>
      <c r="C14" s="228" t="s">
        <v>188</v>
      </c>
      <c r="D14" s="121"/>
      <c r="E14" s="8"/>
    </row>
    <row r="15" spans="2:7" ht="15.75" customHeight="1" x14ac:dyDescent="0.2">
      <c r="B15" s="124"/>
      <c r="C15" s="12" t="s">
        <v>186</v>
      </c>
      <c r="D15" s="109">
        <v>345000</v>
      </c>
      <c r="E15" s="8"/>
    </row>
    <row r="16" spans="2:7" ht="15.75" customHeight="1" x14ac:dyDescent="0.2">
      <c r="B16" s="124"/>
      <c r="C16" s="12" t="s">
        <v>174</v>
      </c>
      <c r="D16" s="121">
        <v>0.8</v>
      </c>
      <c r="E16" s="8"/>
    </row>
    <row r="17" spans="2:6" ht="15.75" customHeight="1" x14ac:dyDescent="0.2">
      <c r="B17" s="124"/>
      <c r="C17" s="12"/>
      <c r="D17" s="121"/>
      <c r="E17" s="8"/>
    </row>
    <row r="18" spans="2:6" ht="15.75" customHeight="1" x14ac:dyDescent="0.2">
      <c r="B18" s="7"/>
      <c r="C18" s="12" t="s">
        <v>183</v>
      </c>
      <c r="D18" s="65">
        <v>1900000</v>
      </c>
      <c r="E18" s="8"/>
    </row>
    <row r="19" spans="2:6" ht="15.75" customHeight="1" x14ac:dyDescent="0.2">
      <c r="B19" s="7"/>
      <c r="C19" s="12" t="s">
        <v>184</v>
      </c>
      <c r="D19" s="65">
        <v>0</v>
      </c>
      <c r="E19" s="8"/>
    </row>
    <row r="20" spans="2:6" ht="15.75" customHeight="1" thickBot="1" x14ac:dyDescent="0.25">
      <c r="B20" s="9"/>
      <c r="C20" s="52"/>
      <c r="D20" s="52"/>
      <c r="E20" s="11"/>
    </row>
    <row r="21" spans="2:6" ht="15.75" customHeight="1" x14ac:dyDescent="0.2">
      <c r="B21" s="51"/>
      <c r="E21" s="51"/>
    </row>
    <row r="22" spans="2:6" ht="15.75" customHeight="1" x14ac:dyDescent="0.2">
      <c r="C22" s="2" t="s">
        <v>2</v>
      </c>
    </row>
    <row r="23" spans="2:6" ht="15.75" customHeight="1" thickBot="1" x14ac:dyDescent="0.25"/>
    <row r="24" spans="2:6" ht="15.75" customHeight="1" x14ac:dyDescent="0.2">
      <c r="B24" s="14"/>
      <c r="C24" s="15"/>
      <c r="D24" s="15"/>
      <c r="E24" s="150"/>
    </row>
    <row r="25" spans="2:6" ht="15.75" customHeight="1" x14ac:dyDescent="0.25">
      <c r="B25" s="56"/>
      <c r="C25" s="18" t="s">
        <v>179</v>
      </c>
      <c r="D25" s="229">
        <f>(D8*D18)+((1-D8)*D19)</f>
        <v>950000</v>
      </c>
      <c r="E25" s="21"/>
      <c r="F25" s="29"/>
    </row>
    <row r="26" spans="2:6" ht="15.75" customHeight="1" x14ac:dyDescent="0.2">
      <c r="B26" s="123"/>
      <c r="C26" s="18"/>
      <c r="D26" s="214"/>
      <c r="E26" s="21"/>
      <c r="F26" s="29"/>
    </row>
    <row r="27" spans="2:6" ht="15.75" customHeight="1" x14ac:dyDescent="0.25">
      <c r="B27" s="56"/>
      <c r="C27" s="18" t="s">
        <v>187</v>
      </c>
      <c r="D27" s="229">
        <f>-D11+(D12*D18)+((1-D12)*D19)</f>
        <v>1080000</v>
      </c>
      <c r="E27" s="21"/>
      <c r="F27" s="29"/>
    </row>
    <row r="28" spans="2:6" ht="15.75" customHeight="1" x14ac:dyDescent="0.25">
      <c r="B28" s="56"/>
      <c r="C28" s="18"/>
      <c r="D28" s="230"/>
      <c r="E28" s="21"/>
      <c r="F28" s="29"/>
    </row>
    <row r="29" spans="2:6" ht="15.75" customHeight="1" x14ac:dyDescent="0.25">
      <c r="B29" s="56"/>
      <c r="C29" s="18" t="s">
        <v>189</v>
      </c>
      <c r="D29" s="229">
        <f>-D15+(D16*D18)+((1-D16)*D19)</f>
        <v>1175000</v>
      </c>
      <c r="E29" s="21"/>
      <c r="F29" s="29"/>
    </row>
    <row r="30" spans="2:6" ht="15.75" customHeight="1" x14ac:dyDescent="0.2">
      <c r="B30" s="56"/>
      <c r="C30" s="18"/>
      <c r="D30" s="231">
        <f>MAX(D29,D27,D25)</f>
        <v>1175000</v>
      </c>
      <c r="E30" s="21"/>
      <c r="F30" s="29"/>
    </row>
    <row r="31" spans="2:6" ht="15.75" customHeight="1" x14ac:dyDescent="0.25">
      <c r="B31" s="56"/>
      <c r="C31" s="18" t="s">
        <v>181</v>
      </c>
      <c r="D31" s="59" t="str">
        <f>IF(D30=D25,"go directly to market",IF(D30=D27,"use the focus group","use the consulting firm"))</f>
        <v>use the consulting firm</v>
      </c>
      <c r="E31" s="21"/>
      <c r="F31" s="29"/>
    </row>
    <row r="32" spans="2:6" ht="15.75" customHeight="1" x14ac:dyDescent="0.2">
      <c r="B32" s="56"/>
      <c r="C32" s="18" t="s">
        <v>182</v>
      </c>
      <c r="D32" s="120"/>
      <c r="E32" s="21"/>
      <c r="F32" s="29"/>
    </row>
    <row r="33" spans="2:8" ht="15.75" customHeight="1" thickBot="1" x14ac:dyDescent="0.25">
      <c r="B33" s="172"/>
      <c r="C33" s="48"/>
      <c r="D33" s="48"/>
      <c r="E33" s="47"/>
      <c r="F33" s="29"/>
    </row>
    <row r="34" spans="2:8" ht="15.75" customHeight="1" x14ac:dyDescent="0.2">
      <c r="B34" s="46"/>
      <c r="C34" s="3"/>
      <c r="D34" s="3"/>
      <c r="E34" s="46"/>
      <c r="F34" s="46"/>
      <c r="G34" s="46"/>
      <c r="H34" s="46"/>
    </row>
    <row r="35" spans="2:8" ht="15.75" customHeight="1" x14ac:dyDescent="0.2">
      <c r="B35" s="3"/>
      <c r="C35" s="3"/>
      <c r="D35" s="116"/>
      <c r="E35" s="3"/>
      <c r="F35" s="3"/>
      <c r="G35" s="3"/>
      <c r="H35" s="3"/>
    </row>
    <row r="36" spans="2:8" ht="15.75" customHeight="1" x14ac:dyDescent="0.2">
      <c r="B36" s="3"/>
      <c r="C36" s="3"/>
      <c r="D36" s="3"/>
      <c r="E36" s="3"/>
      <c r="F36" s="3"/>
      <c r="G36" s="3"/>
      <c r="H36" s="3"/>
    </row>
    <row r="37" spans="2:8" ht="15.75" customHeight="1" x14ac:dyDescent="0.2">
      <c r="B37" s="3"/>
      <c r="C37" s="3"/>
      <c r="D37" s="3"/>
      <c r="E37" s="3"/>
      <c r="F37" s="3"/>
      <c r="G37" s="3"/>
      <c r="H37" s="3"/>
    </row>
    <row r="38" spans="2:8" ht="15.75" customHeight="1" x14ac:dyDescent="0.2">
      <c r="B38" s="3"/>
      <c r="C38" s="3"/>
      <c r="D38" s="3"/>
      <c r="E38" s="3"/>
      <c r="F38" s="3"/>
      <c r="G38" s="3"/>
      <c r="H38" s="3"/>
    </row>
    <row r="39" spans="2:8" ht="15.75" customHeight="1" x14ac:dyDescent="0.2">
      <c r="B39" s="3"/>
      <c r="C39" s="3"/>
      <c r="D39" s="3"/>
      <c r="E39" s="3"/>
      <c r="F39" s="3"/>
      <c r="G39" s="3"/>
      <c r="H39" s="3"/>
    </row>
    <row r="40" spans="2:8" ht="15.75" customHeight="1" x14ac:dyDescent="0.2">
      <c r="B40" s="3"/>
      <c r="C40" s="3"/>
      <c r="D40" s="3"/>
      <c r="E40" s="3"/>
      <c r="F40" s="3"/>
      <c r="G40" s="3"/>
      <c r="H40" s="3"/>
    </row>
    <row r="41" spans="2:8" ht="15.75" customHeight="1" x14ac:dyDescent="0.2">
      <c r="B41" s="3"/>
      <c r="C41" s="3"/>
      <c r="D41" s="3"/>
      <c r="E41" s="3"/>
      <c r="F41" s="3"/>
      <c r="G41" s="3"/>
      <c r="H41" s="3"/>
    </row>
    <row r="42" spans="2:8" ht="15.75" customHeight="1" x14ac:dyDescent="0.2">
      <c r="B42" s="3"/>
      <c r="C42" s="3"/>
      <c r="D42" s="3"/>
      <c r="E42" s="3"/>
      <c r="F42" s="3"/>
      <c r="G42" s="3"/>
      <c r="H42" s="3"/>
    </row>
    <row r="43" spans="2:8" ht="15.75" customHeight="1" x14ac:dyDescent="0.2">
      <c r="B43" s="3"/>
      <c r="C43" s="3"/>
      <c r="D43" s="3"/>
      <c r="E43" s="3"/>
      <c r="F43" s="3"/>
      <c r="G43" s="3"/>
      <c r="H43" s="3"/>
    </row>
    <row r="44" spans="2:8" ht="15" x14ac:dyDescent="0.2">
      <c r="B44" s="3"/>
      <c r="C44" s="3"/>
      <c r="D44" s="3"/>
      <c r="E44" s="3"/>
      <c r="F44" s="3"/>
      <c r="G44" s="3"/>
      <c r="H44" s="3"/>
    </row>
    <row r="45" spans="2:8" ht="15" x14ac:dyDescent="0.2">
      <c r="B45" s="3"/>
      <c r="C45" s="3"/>
      <c r="D45" s="3"/>
      <c r="E45" s="3"/>
      <c r="F45" s="3"/>
      <c r="G45" s="3"/>
      <c r="H45" s="3"/>
    </row>
    <row r="46" spans="2:8" ht="15" x14ac:dyDescent="0.2">
      <c r="B46" s="3"/>
      <c r="C46" s="3"/>
      <c r="D46" s="3"/>
      <c r="E46" s="3"/>
      <c r="F46" s="3"/>
      <c r="G46" s="3"/>
      <c r="H46" s="3"/>
    </row>
    <row r="47" spans="2:8" ht="15" x14ac:dyDescent="0.2">
      <c r="B47" s="3"/>
      <c r="C47" s="3"/>
      <c r="D47" s="3"/>
      <c r="E47" s="3"/>
      <c r="F47" s="3"/>
      <c r="G47" s="3"/>
      <c r="H47" s="3"/>
    </row>
    <row r="48" spans="2:8" ht="15" x14ac:dyDescent="0.2">
      <c r="B48" s="3"/>
      <c r="C48" s="3"/>
      <c r="D48" s="3"/>
      <c r="E48" s="3"/>
      <c r="F48" s="3"/>
      <c r="G48" s="3"/>
      <c r="H48" s="3"/>
    </row>
    <row r="49" spans="2:8" ht="15" x14ac:dyDescent="0.2">
      <c r="B49" s="3"/>
      <c r="C49" s="3"/>
      <c r="D49" s="3"/>
      <c r="E49" s="3"/>
      <c r="F49" s="3"/>
      <c r="G49" s="3"/>
      <c r="H49" s="3"/>
    </row>
    <row r="50" spans="2:8" ht="15" x14ac:dyDescent="0.2">
      <c r="B50" s="3"/>
      <c r="C50" s="3"/>
      <c r="D50" s="3"/>
      <c r="E50" s="3"/>
      <c r="F50" s="3"/>
      <c r="G50" s="3"/>
      <c r="H50" s="3"/>
    </row>
    <row r="51" spans="2:8" ht="15" x14ac:dyDescent="0.2">
      <c r="B51" s="3"/>
      <c r="C51" s="3"/>
      <c r="D51" s="3"/>
      <c r="E51" s="3"/>
      <c r="F51" s="3"/>
      <c r="G51" s="3"/>
      <c r="H51" s="3"/>
    </row>
    <row r="52" spans="2:8" ht="15" x14ac:dyDescent="0.2">
      <c r="B52" s="3"/>
      <c r="C52" s="3"/>
      <c r="D52" s="3"/>
      <c r="E52" s="3"/>
      <c r="F52" s="3"/>
      <c r="G52" s="3"/>
      <c r="H52" s="3"/>
    </row>
    <row r="53" spans="2:8" ht="15" x14ac:dyDescent="0.2">
      <c r="B53" s="3"/>
      <c r="C53" s="3"/>
      <c r="D53" s="3"/>
      <c r="E53" s="3"/>
      <c r="F53" s="3"/>
      <c r="G53" s="3"/>
      <c r="H53" s="3"/>
    </row>
    <row r="54" spans="2:8" ht="15" x14ac:dyDescent="0.2">
      <c r="B54" s="3"/>
      <c r="C54" s="3"/>
      <c r="D54" s="3"/>
      <c r="E54" s="3"/>
      <c r="F54" s="3"/>
      <c r="G54" s="3"/>
      <c r="H54" s="3"/>
    </row>
    <row r="55" spans="2:8" ht="15" x14ac:dyDescent="0.2">
      <c r="B55" s="3"/>
      <c r="C55" s="3"/>
      <c r="D55" s="3"/>
      <c r="E55" s="3"/>
      <c r="F55" s="3"/>
      <c r="G55" s="3"/>
      <c r="H55" s="3"/>
    </row>
    <row r="56" spans="2:8" ht="15" x14ac:dyDescent="0.2">
      <c r="B56" s="3"/>
      <c r="C56" s="3"/>
      <c r="D56" s="3"/>
      <c r="E56" s="3"/>
      <c r="F56" s="3"/>
      <c r="G56" s="3"/>
      <c r="H56" s="3"/>
    </row>
    <row r="57" spans="2:8" ht="15" x14ac:dyDescent="0.2">
      <c r="B57" s="3"/>
      <c r="C57" s="3"/>
      <c r="D57" s="3"/>
      <c r="E57" s="3"/>
      <c r="F57" s="3"/>
      <c r="G57" s="3"/>
      <c r="H57" s="3"/>
    </row>
    <row r="58" spans="2:8" ht="15" x14ac:dyDescent="0.2">
      <c r="B58" s="3"/>
      <c r="C58" s="3"/>
      <c r="D58" s="3"/>
      <c r="E58" s="3"/>
      <c r="F58" s="3"/>
      <c r="G58" s="3"/>
      <c r="H58" s="3"/>
    </row>
    <row r="59" spans="2:8" ht="15" x14ac:dyDescent="0.2">
      <c r="B59" s="3"/>
      <c r="C59" s="3"/>
      <c r="D59" s="3"/>
      <c r="E59" s="3"/>
      <c r="F59" s="3"/>
      <c r="G59" s="3"/>
      <c r="H59" s="3"/>
    </row>
    <row r="60" spans="2:8" ht="15" x14ac:dyDescent="0.2">
      <c r="B60" s="3"/>
      <c r="C60" s="3"/>
      <c r="D60" s="3"/>
      <c r="E60" s="3"/>
      <c r="F60" s="3"/>
      <c r="G60" s="3"/>
      <c r="H60" s="3"/>
    </row>
    <row r="61" spans="2:8" ht="15" x14ac:dyDescent="0.2">
      <c r="B61" s="3"/>
      <c r="C61" s="3"/>
      <c r="D61" s="3"/>
      <c r="E61" s="3"/>
      <c r="F61" s="3"/>
      <c r="G61" s="3"/>
      <c r="H61" s="3"/>
    </row>
    <row r="62" spans="2:8" ht="15" x14ac:dyDescent="0.2">
      <c r="B62" s="3"/>
      <c r="C62" s="3"/>
      <c r="D62" s="3"/>
      <c r="E62" s="3"/>
      <c r="F62" s="3"/>
      <c r="G62" s="3"/>
      <c r="H62" s="3"/>
    </row>
    <row r="63" spans="2:8" ht="15" x14ac:dyDescent="0.2">
      <c r="B63" s="3"/>
      <c r="C63" s="3"/>
      <c r="D63" s="3"/>
      <c r="E63" s="3"/>
      <c r="F63" s="3"/>
      <c r="G63" s="3"/>
      <c r="H63" s="3"/>
    </row>
    <row r="64" spans="2:8" ht="15" x14ac:dyDescent="0.2">
      <c r="B64" s="3"/>
      <c r="C64" s="3"/>
      <c r="D64" s="3"/>
      <c r="E64" s="3"/>
      <c r="F64" s="3"/>
      <c r="G64" s="3"/>
      <c r="H64" s="3"/>
    </row>
    <row r="65" spans="2:8" ht="15" x14ac:dyDescent="0.2">
      <c r="B65" s="3"/>
      <c r="C65" s="3"/>
      <c r="D65" s="3"/>
      <c r="E65" s="3"/>
      <c r="F65" s="3"/>
      <c r="G65" s="3"/>
      <c r="H65" s="3"/>
    </row>
    <row r="66" spans="2:8" ht="15" x14ac:dyDescent="0.2">
      <c r="B66" s="3"/>
      <c r="C66" s="3"/>
      <c r="D66" s="3"/>
      <c r="E66" s="3"/>
      <c r="F66" s="3"/>
      <c r="G66" s="3"/>
      <c r="H66" s="3"/>
    </row>
    <row r="67" spans="2:8" ht="15" x14ac:dyDescent="0.2">
      <c r="B67" s="3"/>
      <c r="C67" s="3"/>
      <c r="D67" s="3"/>
      <c r="E67" s="3"/>
      <c r="F67" s="3"/>
      <c r="G67" s="3"/>
      <c r="H67" s="3"/>
    </row>
    <row r="68" spans="2:8" ht="15" x14ac:dyDescent="0.2">
      <c r="B68" s="3"/>
      <c r="C68" s="3"/>
      <c r="D68" s="3"/>
      <c r="E68" s="3"/>
      <c r="F68" s="3"/>
      <c r="G68" s="3"/>
      <c r="H68" s="3"/>
    </row>
    <row r="69" spans="2:8" ht="15" x14ac:dyDescent="0.2">
      <c r="B69" s="3"/>
      <c r="C69" s="3"/>
      <c r="D69" s="3"/>
      <c r="E69" s="3"/>
      <c r="F69" s="3"/>
      <c r="G69" s="3"/>
      <c r="H69" s="3"/>
    </row>
    <row r="70" spans="2:8" ht="15" x14ac:dyDescent="0.2">
      <c r="B70" s="3"/>
      <c r="C70" s="3"/>
      <c r="D70" s="3"/>
      <c r="E70" s="3"/>
      <c r="F70" s="3"/>
      <c r="G70" s="3"/>
      <c r="H70" s="3"/>
    </row>
    <row r="71" spans="2:8" ht="15" x14ac:dyDescent="0.2">
      <c r="B71" s="3"/>
      <c r="C71" s="3"/>
      <c r="D71" s="3"/>
      <c r="E71" s="3"/>
      <c r="F71" s="3"/>
      <c r="G71" s="3"/>
      <c r="H71" s="3"/>
    </row>
    <row r="72" spans="2:8" ht="15" x14ac:dyDescent="0.2">
      <c r="B72" s="3"/>
      <c r="C72" s="3"/>
      <c r="D72" s="3"/>
      <c r="E72" s="3"/>
      <c r="F72" s="3"/>
      <c r="G72" s="3"/>
      <c r="H72" s="3"/>
    </row>
    <row r="73" spans="2:8" ht="15" x14ac:dyDescent="0.2">
      <c r="B73" s="3"/>
      <c r="C73" s="3"/>
      <c r="D73" s="3"/>
      <c r="E73" s="3"/>
      <c r="F73" s="3"/>
      <c r="G73" s="3"/>
      <c r="H73" s="3"/>
    </row>
    <row r="74" spans="2:8" ht="15" x14ac:dyDescent="0.2">
      <c r="B74" s="3"/>
      <c r="C74" s="3"/>
      <c r="D74" s="3"/>
      <c r="E74" s="3"/>
      <c r="F74" s="3"/>
      <c r="G74" s="3"/>
      <c r="H74" s="3"/>
    </row>
    <row r="75" spans="2:8" ht="15" x14ac:dyDescent="0.2">
      <c r="B75" s="3"/>
      <c r="C75" s="3"/>
      <c r="D75" s="3"/>
      <c r="E75" s="3"/>
      <c r="F75" s="3"/>
      <c r="G75" s="3"/>
      <c r="H75" s="3"/>
    </row>
    <row r="76" spans="2:8" ht="15" x14ac:dyDescent="0.2">
      <c r="B76" s="3"/>
      <c r="C76" s="3"/>
      <c r="D76" s="3"/>
      <c r="E76" s="3"/>
      <c r="F76" s="3"/>
      <c r="G76" s="3"/>
      <c r="H76" s="3"/>
    </row>
    <row r="77" spans="2:8" ht="15" x14ac:dyDescent="0.2">
      <c r="B77" s="3"/>
      <c r="C77" s="3"/>
      <c r="D77" s="3"/>
      <c r="E77" s="3"/>
      <c r="F77" s="3"/>
      <c r="G77" s="3"/>
      <c r="H77" s="3"/>
    </row>
    <row r="78" spans="2:8" ht="15" x14ac:dyDescent="0.2">
      <c r="B78" s="3"/>
      <c r="C78" s="3"/>
      <c r="D78" s="3"/>
      <c r="E78" s="3"/>
      <c r="F78" s="3"/>
      <c r="G78" s="3"/>
      <c r="H78" s="3"/>
    </row>
    <row r="79" spans="2:8" ht="15" x14ac:dyDescent="0.2">
      <c r="B79" s="3"/>
      <c r="C79" s="3"/>
      <c r="D79" s="3"/>
      <c r="E79" s="3"/>
      <c r="F79" s="3"/>
      <c r="G79" s="3"/>
      <c r="H79" s="3"/>
    </row>
    <row r="80" spans="2:8" ht="15" x14ac:dyDescent="0.2">
      <c r="B80" s="3"/>
      <c r="C80" s="3"/>
      <c r="D80" s="3"/>
      <c r="E80" s="3"/>
      <c r="F80" s="3"/>
      <c r="G80" s="3"/>
      <c r="H80" s="3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5703125" bestFit="1" customWidth="1"/>
    <col min="4" max="4" width="26.7109375" bestFit="1" customWidth="1"/>
    <col min="5" max="5" width="3.140625" customWidth="1"/>
    <col min="6" max="8" width="9.140625" customWidth="1"/>
  </cols>
  <sheetData>
    <row r="1" spans="2:7" ht="19.5" customHeight="1" x14ac:dyDescent="0.25">
      <c r="C1" s="1" t="s">
        <v>332</v>
      </c>
    </row>
    <row r="2" spans="2:7" ht="15.75" customHeight="1" x14ac:dyDescent="0.2">
      <c r="C2" s="3" t="s">
        <v>13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4"/>
      <c r="C6" s="5"/>
      <c r="D6" s="5"/>
      <c r="E6" s="6"/>
    </row>
    <row r="7" spans="2:7" ht="15.75" customHeight="1" x14ac:dyDescent="0.2">
      <c r="B7" s="7"/>
      <c r="C7" s="228" t="s">
        <v>171</v>
      </c>
      <c r="D7" s="125"/>
      <c r="E7" s="8"/>
      <c r="G7" s="50"/>
    </row>
    <row r="8" spans="2:7" ht="15.75" customHeight="1" x14ac:dyDescent="0.2">
      <c r="B8" s="7"/>
      <c r="C8" s="12" t="s">
        <v>174</v>
      </c>
      <c r="D8" s="121">
        <v>0.55000000000000004</v>
      </c>
      <c r="E8" s="8"/>
      <c r="G8" s="50"/>
    </row>
    <row r="9" spans="2:7" ht="15.75" customHeight="1" x14ac:dyDescent="0.2">
      <c r="B9" s="7"/>
      <c r="C9" s="12"/>
      <c r="D9" s="65"/>
      <c r="E9" s="8"/>
    </row>
    <row r="10" spans="2:7" ht="15.75" customHeight="1" x14ac:dyDescent="0.2">
      <c r="B10" s="7"/>
      <c r="C10" s="228" t="s">
        <v>190</v>
      </c>
      <c r="D10" s="121"/>
      <c r="E10" s="8"/>
    </row>
    <row r="11" spans="2:7" ht="15.75" customHeight="1" x14ac:dyDescent="0.2">
      <c r="B11" s="7"/>
      <c r="C11" s="12" t="s">
        <v>186</v>
      </c>
      <c r="D11" s="109">
        <v>875000</v>
      </c>
      <c r="E11" s="8"/>
    </row>
    <row r="12" spans="2:7" ht="15.75" customHeight="1" x14ac:dyDescent="0.2">
      <c r="B12" s="7"/>
      <c r="C12" s="12" t="s">
        <v>174</v>
      </c>
      <c r="D12" s="121">
        <v>0.7</v>
      </c>
      <c r="E12" s="8"/>
    </row>
    <row r="13" spans="2:7" ht="15.75" customHeight="1" x14ac:dyDescent="0.2">
      <c r="B13" s="124"/>
      <c r="C13" s="12"/>
      <c r="D13" s="121"/>
      <c r="E13" s="8"/>
    </row>
    <row r="14" spans="2:7" ht="15.75" customHeight="1" x14ac:dyDescent="0.2">
      <c r="B14" s="7"/>
      <c r="C14" s="12" t="s">
        <v>183</v>
      </c>
      <c r="D14" s="65">
        <v>16500000</v>
      </c>
      <c r="E14" s="8"/>
    </row>
    <row r="15" spans="2:7" ht="15.75" customHeight="1" x14ac:dyDescent="0.2">
      <c r="B15" s="7"/>
      <c r="C15" s="12" t="s">
        <v>184</v>
      </c>
      <c r="D15" s="65">
        <v>7500000</v>
      </c>
      <c r="E15" s="8"/>
    </row>
    <row r="16" spans="2:7" ht="15.75" customHeight="1" x14ac:dyDescent="0.2">
      <c r="B16" s="7"/>
      <c r="C16" s="12" t="s">
        <v>191</v>
      </c>
      <c r="D16" s="121">
        <v>0.13</v>
      </c>
      <c r="E16" s="8"/>
    </row>
    <row r="17" spans="2:8" ht="15.75" customHeight="1" thickBot="1" x14ac:dyDescent="0.25">
      <c r="B17" s="9"/>
      <c r="C17" s="52"/>
      <c r="D17" s="52"/>
      <c r="E17" s="11"/>
    </row>
    <row r="18" spans="2:8" ht="15.75" customHeight="1" x14ac:dyDescent="0.2">
      <c r="B18" s="51"/>
      <c r="E18" s="51"/>
    </row>
    <row r="19" spans="2:8" ht="15.75" customHeight="1" x14ac:dyDescent="0.2">
      <c r="C19" s="2" t="s">
        <v>2</v>
      </c>
    </row>
    <row r="20" spans="2:8" ht="15.75" customHeight="1" thickBot="1" x14ac:dyDescent="0.25"/>
    <row r="21" spans="2:8" ht="15.75" customHeight="1" x14ac:dyDescent="0.2">
      <c r="B21" s="14"/>
      <c r="C21" s="15"/>
      <c r="D21" s="15"/>
      <c r="E21" s="150"/>
    </row>
    <row r="22" spans="2:8" ht="15.75" customHeight="1" x14ac:dyDescent="0.25">
      <c r="B22" s="56"/>
      <c r="C22" s="18" t="s">
        <v>179</v>
      </c>
      <c r="D22" s="229">
        <f>(D8*D14)+((1-D8)*D15)</f>
        <v>12450000</v>
      </c>
      <c r="E22" s="21"/>
      <c r="F22" s="29"/>
    </row>
    <row r="23" spans="2:8" ht="15.75" customHeight="1" x14ac:dyDescent="0.2">
      <c r="B23" s="123"/>
      <c r="C23" s="18"/>
      <c r="D23" s="214"/>
      <c r="E23" s="21"/>
      <c r="F23" s="29"/>
    </row>
    <row r="24" spans="2:8" ht="15.75" customHeight="1" x14ac:dyDescent="0.25">
      <c r="B24" s="56"/>
      <c r="C24" s="18" t="s">
        <v>192</v>
      </c>
      <c r="D24" s="229">
        <f>-D11+(((D12*D14)+((1-D12)*D15))/(1+D16))</f>
        <v>11337389.380530974</v>
      </c>
      <c r="E24" s="21"/>
      <c r="F24" s="29"/>
    </row>
    <row r="25" spans="2:8" ht="15.75" customHeight="1" x14ac:dyDescent="0.25">
      <c r="B25" s="56"/>
      <c r="C25" s="18"/>
      <c r="D25" s="230"/>
      <c r="E25" s="21"/>
      <c r="F25" s="29"/>
    </row>
    <row r="26" spans="2:8" ht="15.75" customHeight="1" x14ac:dyDescent="0.25">
      <c r="B26" s="56"/>
      <c r="C26" s="18" t="s">
        <v>181</v>
      </c>
      <c r="D26" s="59" t="str">
        <f>IF(D22&gt;D24,"go directly to market","use the market research")</f>
        <v>go directly to market</v>
      </c>
      <c r="E26" s="21"/>
      <c r="F26" s="29"/>
    </row>
    <row r="27" spans="2:8" ht="15.75" customHeight="1" x14ac:dyDescent="0.2">
      <c r="B27" s="56"/>
      <c r="C27" s="18" t="s">
        <v>182</v>
      </c>
      <c r="D27" s="120"/>
      <c r="E27" s="21"/>
      <c r="F27" s="29"/>
    </row>
    <row r="28" spans="2:8" ht="15.75" customHeight="1" thickBot="1" x14ac:dyDescent="0.25">
      <c r="B28" s="172"/>
      <c r="C28" s="48"/>
      <c r="D28" s="48"/>
      <c r="E28" s="47"/>
      <c r="F28" s="29"/>
    </row>
    <row r="29" spans="2:8" ht="15.75" customHeight="1" x14ac:dyDescent="0.2">
      <c r="B29" s="46"/>
      <c r="C29" s="3"/>
      <c r="D29" s="3"/>
      <c r="E29" s="46"/>
      <c r="F29" s="46"/>
      <c r="G29" s="46"/>
      <c r="H29" s="46"/>
    </row>
    <row r="30" spans="2:8" ht="15.75" customHeight="1" x14ac:dyDescent="0.2">
      <c r="B30" s="3"/>
      <c r="C30" s="3"/>
      <c r="D30" s="116"/>
      <c r="E30" s="3"/>
      <c r="F30" s="3"/>
      <c r="G30" s="3"/>
      <c r="H30" s="3"/>
    </row>
    <row r="31" spans="2:8" ht="15.75" customHeight="1" x14ac:dyDescent="0.2">
      <c r="B31" s="3"/>
      <c r="C31" s="3"/>
      <c r="D31" s="3"/>
      <c r="E31" s="3"/>
      <c r="F31" s="3"/>
      <c r="G31" s="3"/>
      <c r="H31" s="3"/>
    </row>
    <row r="32" spans="2:8" ht="15.75" customHeight="1" x14ac:dyDescent="0.2">
      <c r="B32" s="3"/>
      <c r="C32" s="3"/>
      <c r="D32" s="3"/>
      <c r="E32" s="3"/>
      <c r="F32" s="3"/>
      <c r="G32" s="3"/>
      <c r="H32" s="3"/>
    </row>
    <row r="33" spans="2:8" ht="15.75" customHeight="1" x14ac:dyDescent="0.2">
      <c r="B33" s="3"/>
      <c r="C33" s="3"/>
      <c r="D33" s="3"/>
      <c r="E33" s="3"/>
      <c r="F33" s="3"/>
      <c r="G33" s="3"/>
      <c r="H33" s="3"/>
    </row>
    <row r="34" spans="2:8" ht="15.75" customHeight="1" x14ac:dyDescent="0.2">
      <c r="B34" s="3"/>
      <c r="C34" s="3"/>
      <c r="D34" s="3"/>
      <c r="E34" s="3"/>
      <c r="F34" s="3"/>
      <c r="G34" s="3"/>
      <c r="H34" s="3"/>
    </row>
    <row r="35" spans="2:8" ht="15.75" customHeight="1" x14ac:dyDescent="0.2">
      <c r="B35" s="3"/>
      <c r="C35" s="3"/>
      <c r="D35" s="3"/>
      <c r="E35" s="3"/>
      <c r="F35" s="3"/>
      <c r="G35" s="3"/>
      <c r="H35" s="3"/>
    </row>
    <row r="36" spans="2:8" ht="15.75" customHeight="1" x14ac:dyDescent="0.2">
      <c r="B36" s="3"/>
      <c r="C36" s="3"/>
      <c r="D36" s="3"/>
      <c r="E36" s="3"/>
      <c r="F36" s="3"/>
      <c r="G36" s="3"/>
      <c r="H36" s="3"/>
    </row>
    <row r="37" spans="2:8" ht="15.75" customHeight="1" x14ac:dyDescent="0.2">
      <c r="B37" s="3"/>
      <c r="C37" s="3"/>
      <c r="D37" s="3"/>
      <c r="E37" s="3"/>
      <c r="F37" s="3"/>
      <c r="G37" s="3"/>
      <c r="H37" s="3"/>
    </row>
    <row r="38" spans="2:8" ht="15.75" customHeight="1" x14ac:dyDescent="0.2">
      <c r="B38" s="3"/>
      <c r="C38" s="3"/>
      <c r="D38" s="3"/>
      <c r="E38" s="3"/>
      <c r="F38" s="3"/>
      <c r="G38" s="3"/>
      <c r="H38" s="3"/>
    </row>
    <row r="39" spans="2:8" ht="15" x14ac:dyDescent="0.2">
      <c r="B39" s="3"/>
      <c r="C39" s="3"/>
      <c r="D39" s="3"/>
      <c r="E39" s="3"/>
      <c r="F39" s="3"/>
      <c r="G39" s="3"/>
      <c r="H39" s="3"/>
    </row>
    <row r="40" spans="2:8" ht="15" x14ac:dyDescent="0.2">
      <c r="B40" s="3"/>
      <c r="C40" s="3"/>
      <c r="D40" s="3"/>
      <c r="E40" s="3"/>
      <c r="F40" s="3"/>
      <c r="G40" s="3"/>
      <c r="H40" s="3"/>
    </row>
    <row r="41" spans="2:8" ht="15" x14ac:dyDescent="0.2">
      <c r="B41" s="3"/>
      <c r="C41" s="3"/>
      <c r="D41" s="3"/>
      <c r="E41" s="3"/>
      <c r="F41" s="3"/>
      <c r="G41" s="3"/>
      <c r="H41" s="3"/>
    </row>
    <row r="42" spans="2:8" ht="15" x14ac:dyDescent="0.2">
      <c r="B42" s="3"/>
      <c r="C42" s="3"/>
      <c r="D42" s="3"/>
      <c r="E42" s="3"/>
      <c r="F42" s="3"/>
      <c r="G42" s="3"/>
      <c r="H42" s="3"/>
    </row>
    <row r="43" spans="2:8" ht="15" x14ac:dyDescent="0.2">
      <c r="B43" s="3"/>
      <c r="C43" s="3"/>
      <c r="D43" s="3"/>
      <c r="E43" s="3"/>
      <c r="F43" s="3"/>
      <c r="G43" s="3"/>
      <c r="H43" s="3"/>
    </row>
    <row r="44" spans="2:8" ht="15" x14ac:dyDescent="0.2">
      <c r="B44" s="3"/>
      <c r="C44" s="3"/>
      <c r="D44" s="3"/>
      <c r="E44" s="3"/>
      <c r="F44" s="3"/>
      <c r="G44" s="3"/>
      <c r="H44" s="3"/>
    </row>
    <row r="45" spans="2:8" ht="15" x14ac:dyDescent="0.2">
      <c r="B45" s="3"/>
      <c r="C45" s="3"/>
      <c r="D45" s="3"/>
      <c r="E45" s="3"/>
      <c r="F45" s="3"/>
      <c r="G45" s="3"/>
      <c r="H45" s="3"/>
    </row>
    <row r="46" spans="2:8" ht="15" x14ac:dyDescent="0.2">
      <c r="B46" s="3"/>
      <c r="C46" s="3"/>
      <c r="D46" s="3"/>
      <c r="E46" s="3"/>
      <c r="F46" s="3"/>
      <c r="G46" s="3"/>
      <c r="H46" s="3"/>
    </row>
    <row r="47" spans="2:8" ht="15" x14ac:dyDescent="0.2">
      <c r="B47" s="3"/>
      <c r="C47" s="3"/>
      <c r="D47" s="3"/>
      <c r="E47" s="3"/>
      <c r="F47" s="3"/>
      <c r="G47" s="3"/>
      <c r="H47" s="3"/>
    </row>
    <row r="48" spans="2:8" ht="15" x14ac:dyDescent="0.2">
      <c r="B48" s="3"/>
      <c r="C48" s="3"/>
      <c r="D48" s="3"/>
      <c r="E48" s="3"/>
      <c r="F48" s="3"/>
      <c r="G48" s="3"/>
      <c r="H48" s="3"/>
    </row>
    <row r="49" spans="2:8" ht="15" x14ac:dyDescent="0.2">
      <c r="B49" s="3"/>
      <c r="C49" s="3"/>
      <c r="D49" s="3"/>
      <c r="E49" s="3"/>
      <c r="F49" s="3"/>
      <c r="G49" s="3"/>
      <c r="H49" s="3"/>
    </row>
    <row r="50" spans="2:8" ht="15" x14ac:dyDescent="0.2">
      <c r="B50" s="3"/>
      <c r="C50" s="3"/>
      <c r="D50" s="3"/>
      <c r="E50" s="3"/>
      <c r="F50" s="3"/>
      <c r="G50" s="3"/>
      <c r="H50" s="3"/>
    </row>
    <row r="51" spans="2:8" ht="15" x14ac:dyDescent="0.2">
      <c r="B51" s="3"/>
      <c r="C51" s="3"/>
      <c r="D51" s="3"/>
      <c r="E51" s="3"/>
      <c r="F51" s="3"/>
      <c r="G51" s="3"/>
      <c r="H51" s="3"/>
    </row>
    <row r="52" spans="2:8" ht="15" x14ac:dyDescent="0.2">
      <c r="B52" s="3"/>
      <c r="C52" s="3"/>
      <c r="D52" s="3"/>
      <c r="E52" s="3"/>
      <c r="F52" s="3"/>
      <c r="G52" s="3"/>
      <c r="H52" s="3"/>
    </row>
    <row r="53" spans="2:8" ht="15" x14ac:dyDescent="0.2">
      <c r="B53" s="3"/>
      <c r="C53" s="3"/>
      <c r="D53" s="3"/>
      <c r="E53" s="3"/>
      <c r="F53" s="3"/>
      <c r="G53" s="3"/>
      <c r="H53" s="3"/>
    </row>
    <row r="54" spans="2:8" ht="15" x14ac:dyDescent="0.2">
      <c r="B54" s="3"/>
      <c r="C54" s="3"/>
      <c r="D54" s="3"/>
      <c r="E54" s="3"/>
      <c r="F54" s="3"/>
      <c r="G54" s="3"/>
      <c r="H54" s="3"/>
    </row>
    <row r="55" spans="2:8" ht="15" x14ac:dyDescent="0.2">
      <c r="B55" s="3"/>
      <c r="C55" s="3"/>
      <c r="D55" s="3"/>
      <c r="E55" s="3"/>
      <c r="F55" s="3"/>
      <c r="G55" s="3"/>
      <c r="H55" s="3"/>
    </row>
    <row r="56" spans="2:8" ht="15" x14ac:dyDescent="0.2">
      <c r="B56" s="3"/>
      <c r="C56" s="3"/>
      <c r="D56" s="3"/>
      <c r="E56" s="3"/>
      <c r="F56" s="3"/>
      <c r="G56" s="3"/>
      <c r="H56" s="3"/>
    </row>
    <row r="57" spans="2:8" ht="15" x14ac:dyDescent="0.2">
      <c r="B57" s="3"/>
      <c r="C57" s="3"/>
      <c r="D57" s="3"/>
      <c r="E57" s="3"/>
      <c r="F57" s="3"/>
      <c r="G57" s="3"/>
      <c r="H57" s="3"/>
    </row>
    <row r="58" spans="2:8" ht="15" x14ac:dyDescent="0.2">
      <c r="B58" s="3"/>
      <c r="C58" s="3"/>
      <c r="D58" s="3"/>
      <c r="E58" s="3"/>
      <c r="F58" s="3"/>
      <c r="G58" s="3"/>
      <c r="H58" s="3"/>
    </row>
    <row r="59" spans="2:8" ht="15" x14ac:dyDescent="0.2">
      <c r="B59" s="3"/>
      <c r="C59" s="3"/>
      <c r="D59" s="3"/>
      <c r="E59" s="3"/>
      <c r="F59" s="3"/>
      <c r="G59" s="3"/>
      <c r="H59" s="3"/>
    </row>
    <row r="60" spans="2:8" ht="15" x14ac:dyDescent="0.2">
      <c r="B60" s="3"/>
      <c r="C60" s="3"/>
      <c r="D60" s="3"/>
      <c r="E60" s="3"/>
      <c r="F60" s="3"/>
      <c r="G60" s="3"/>
      <c r="H60" s="3"/>
    </row>
    <row r="61" spans="2:8" ht="15" x14ac:dyDescent="0.2">
      <c r="B61" s="3"/>
      <c r="C61" s="3"/>
      <c r="D61" s="3"/>
      <c r="E61" s="3"/>
      <c r="F61" s="3"/>
      <c r="G61" s="3"/>
      <c r="H61" s="3"/>
    </row>
    <row r="62" spans="2:8" ht="15" x14ac:dyDescent="0.2">
      <c r="B62" s="3"/>
      <c r="C62" s="3"/>
      <c r="D62" s="3"/>
      <c r="E62" s="3"/>
      <c r="F62" s="3"/>
      <c r="G62" s="3"/>
      <c r="H62" s="3"/>
    </row>
    <row r="63" spans="2:8" ht="15" x14ac:dyDescent="0.2">
      <c r="B63" s="3"/>
      <c r="C63" s="3"/>
      <c r="D63" s="3"/>
      <c r="E63" s="3"/>
      <c r="F63" s="3"/>
      <c r="G63" s="3"/>
      <c r="H63" s="3"/>
    </row>
    <row r="64" spans="2:8" ht="15" x14ac:dyDescent="0.2">
      <c r="B64" s="3"/>
      <c r="C64" s="3"/>
      <c r="D64" s="3"/>
      <c r="E64" s="3"/>
      <c r="F64" s="3"/>
      <c r="G64" s="3"/>
      <c r="H64" s="3"/>
    </row>
    <row r="65" spans="2:8" ht="15" x14ac:dyDescent="0.2">
      <c r="B65" s="3"/>
      <c r="C65" s="3"/>
      <c r="D65" s="3"/>
      <c r="E65" s="3"/>
      <c r="F65" s="3"/>
      <c r="G65" s="3"/>
      <c r="H65" s="3"/>
    </row>
    <row r="66" spans="2:8" ht="15" x14ac:dyDescent="0.2">
      <c r="B66" s="3"/>
      <c r="C66" s="3"/>
      <c r="D66" s="3"/>
      <c r="E66" s="3"/>
      <c r="F66" s="3"/>
      <c r="G66" s="3"/>
      <c r="H66" s="3"/>
    </row>
    <row r="67" spans="2:8" ht="15" x14ac:dyDescent="0.2">
      <c r="B67" s="3"/>
      <c r="C67" s="3"/>
      <c r="D67" s="3"/>
      <c r="E67" s="3"/>
      <c r="F67" s="3"/>
      <c r="G67" s="3"/>
      <c r="H67" s="3"/>
    </row>
    <row r="68" spans="2:8" ht="15" x14ac:dyDescent="0.2">
      <c r="B68" s="3"/>
      <c r="C68" s="3"/>
      <c r="D68" s="3"/>
      <c r="E68" s="3"/>
      <c r="F68" s="3"/>
      <c r="G68" s="3"/>
      <c r="H68" s="3"/>
    </row>
    <row r="69" spans="2:8" ht="15" x14ac:dyDescent="0.2">
      <c r="B69" s="3"/>
      <c r="C69" s="3"/>
      <c r="D69" s="3"/>
      <c r="E69" s="3"/>
      <c r="F69" s="3"/>
      <c r="G69" s="3"/>
      <c r="H69" s="3"/>
    </row>
    <row r="70" spans="2:8" ht="15" x14ac:dyDescent="0.2">
      <c r="B70" s="3"/>
      <c r="C70" s="3"/>
      <c r="D70" s="3"/>
      <c r="E70" s="3"/>
      <c r="F70" s="3"/>
      <c r="G70" s="3"/>
      <c r="H70" s="3"/>
    </row>
    <row r="71" spans="2:8" ht="15" x14ac:dyDescent="0.2">
      <c r="B71" s="3"/>
      <c r="C71" s="3"/>
      <c r="D71" s="3"/>
      <c r="E71" s="3"/>
      <c r="F71" s="3"/>
      <c r="G71" s="3"/>
      <c r="H71" s="3"/>
    </row>
    <row r="72" spans="2:8" ht="15" x14ac:dyDescent="0.2">
      <c r="B72" s="3"/>
      <c r="C72" s="3"/>
      <c r="D72" s="3"/>
      <c r="E72" s="3"/>
      <c r="F72" s="3"/>
      <c r="G72" s="3"/>
      <c r="H72" s="3"/>
    </row>
    <row r="73" spans="2:8" ht="15" x14ac:dyDescent="0.2">
      <c r="B73" s="3"/>
      <c r="C73" s="3"/>
      <c r="D73" s="3"/>
      <c r="E73" s="3"/>
      <c r="F73" s="3"/>
      <c r="G73" s="3"/>
      <c r="H73" s="3"/>
    </row>
    <row r="74" spans="2:8" ht="15" x14ac:dyDescent="0.2">
      <c r="B74" s="3"/>
      <c r="C74" s="3"/>
      <c r="D74" s="3"/>
      <c r="E74" s="3"/>
      <c r="F74" s="3"/>
      <c r="G74" s="3"/>
      <c r="H74" s="3"/>
    </row>
    <row r="75" spans="2:8" ht="15" x14ac:dyDescent="0.2">
      <c r="B75" s="3"/>
      <c r="C75" s="3"/>
      <c r="D75" s="3"/>
      <c r="E75" s="3"/>
      <c r="F75" s="3"/>
      <c r="G75" s="3"/>
      <c r="H75" s="3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Chapter 7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2011-05-28T20:05:09Z</cp:lastPrinted>
  <dcterms:created xsi:type="dcterms:W3CDTF">2002-05-08T06:11:51Z</dcterms:created>
  <dcterms:modified xsi:type="dcterms:W3CDTF">2018-02-02T02:03:34Z</dcterms:modified>
</cp:coreProperties>
</file>