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moliraj\Dropbox\Documents\Jordan\Jaffe 12th edition\Excel Solutions\"/>
    </mc:Choice>
  </mc:AlternateContent>
  <bookViews>
    <workbookView xWindow="360" yWindow="15" windowWidth="11340" windowHeight="6540"/>
  </bookViews>
  <sheets>
    <sheet name="Chapter 8" sheetId="32" r:id="rId1"/>
    <sheet name="#1" sheetId="41" r:id="rId2"/>
    <sheet name="#2" sheetId="42" r:id="rId3"/>
    <sheet name="#3" sheetId="8" r:id="rId4"/>
    <sheet name="#4" sheetId="9" r:id="rId5"/>
    <sheet name="#5" sheetId="43" r:id="rId6"/>
    <sheet name="#6" sheetId="44" r:id="rId7"/>
    <sheet name="#7" sheetId="48" r:id="rId8"/>
    <sheet name="#8" sheetId="49" r:id="rId9"/>
    <sheet name="#9" sheetId="50" r:id="rId10"/>
    <sheet name="#10" sheetId="10" r:id="rId11"/>
    <sheet name="#11" sheetId="11" r:id="rId12"/>
    <sheet name="#12" sheetId="12" r:id="rId13"/>
    <sheet name="#13" sheetId="13" r:id="rId14"/>
    <sheet name="#14" sheetId="51" r:id="rId15"/>
    <sheet name="#15" sheetId="52" r:id="rId16"/>
    <sheet name="#16" sheetId="47" r:id="rId17"/>
    <sheet name="#17" sheetId="53" r:id="rId18"/>
    <sheet name="#18" sheetId="54" r:id="rId19"/>
    <sheet name="#19" sheetId="18" r:id="rId20"/>
    <sheet name="#20" sheetId="19" r:id="rId21"/>
    <sheet name="#21" sheetId="20" r:id="rId22"/>
    <sheet name="#22" sheetId="33" r:id="rId23"/>
    <sheet name="#23" sheetId="34" r:id="rId24"/>
    <sheet name="#24" sheetId="21" r:id="rId25"/>
    <sheet name="#25" sheetId="23" r:id="rId26"/>
    <sheet name="#26" sheetId="27" r:id="rId27"/>
    <sheet name="#27" sheetId="45" r:id="rId28"/>
    <sheet name="#28" sheetId="46" r:id="rId29"/>
    <sheet name="#29" sheetId="28" r:id="rId30"/>
    <sheet name="#30" sheetId="29" r:id="rId31"/>
    <sheet name="#31" sheetId="30" r:id="rId32"/>
    <sheet name="#33" sheetId="37" r:id="rId33"/>
    <sheet name="#34" sheetId="39" r:id="rId34"/>
    <sheet name="#35" sheetId="40" r:id="rId35"/>
  </sheets>
  <calcPr calcId="152511"/>
</workbook>
</file>

<file path=xl/calcChain.xml><?xml version="1.0" encoding="utf-8"?>
<calcChain xmlns="http://schemas.openxmlformats.org/spreadsheetml/2006/main">
  <c r="C48" i="28" l="1"/>
  <c r="D17" i="28" l="1"/>
  <c r="D23" i="53"/>
  <c r="D22" i="53"/>
  <c r="D23" i="52"/>
  <c r="D51" i="54" l="1"/>
  <c r="D50" i="54"/>
  <c r="D49" i="54"/>
  <c r="D48" i="54"/>
  <c r="D47" i="54"/>
  <c r="D46" i="54"/>
  <c r="D45" i="54"/>
  <c r="D44" i="54"/>
  <c r="D43" i="54"/>
  <c r="D42" i="54"/>
  <c r="D41" i="54"/>
  <c r="D29" i="54"/>
  <c r="D33" i="54" s="1"/>
  <c r="D27" i="54"/>
  <c r="D31" i="54" s="1"/>
  <c r="D15" i="54"/>
  <c r="D64" i="54" s="1"/>
  <c r="F85" i="53"/>
  <c r="D85" i="53"/>
  <c r="F84" i="53"/>
  <c r="D84" i="53"/>
  <c r="F83" i="53"/>
  <c r="D83" i="53"/>
  <c r="F82" i="53"/>
  <c r="D82" i="53"/>
  <c r="F81" i="53"/>
  <c r="D81" i="53"/>
  <c r="F80" i="53"/>
  <c r="D80" i="53"/>
  <c r="F79" i="53"/>
  <c r="D79" i="53"/>
  <c r="F78" i="53"/>
  <c r="D78" i="53"/>
  <c r="F77" i="53"/>
  <c r="D77" i="53"/>
  <c r="F76" i="53"/>
  <c r="D76" i="53"/>
  <c r="F75" i="53"/>
  <c r="D75" i="53"/>
  <c r="F74" i="53"/>
  <c r="D74" i="53"/>
  <c r="F73" i="53"/>
  <c r="D73" i="53"/>
  <c r="F72" i="53"/>
  <c r="D72" i="53"/>
  <c r="F68" i="53"/>
  <c r="D68" i="53"/>
  <c r="F67" i="53"/>
  <c r="D67" i="53"/>
  <c r="F66" i="53"/>
  <c r="D66" i="53"/>
  <c r="F65" i="53"/>
  <c r="D65" i="53"/>
  <c r="F64" i="53"/>
  <c r="D64" i="53"/>
  <c r="F63" i="53"/>
  <c r="D63" i="53"/>
  <c r="F62" i="53"/>
  <c r="D62" i="53"/>
  <c r="F61" i="53"/>
  <c r="D61" i="53"/>
  <c r="F60" i="53"/>
  <c r="D60" i="53"/>
  <c r="F59" i="53"/>
  <c r="D59" i="53"/>
  <c r="F58" i="53"/>
  <c r="D58" i="53"/>
  <c r="F57" i="53"/>
  <c r="D57" i="53"/>
  <c r="F56" i="53"/>
  <c r="D56" i="53"/>
  <c r="F55" i="53"/>
  <c r="D55" i="53"/>
  <c r="C45" i="53"/>
  <c r="D45" i="53" s="1"/>
  <c r="D44" i="53"/>
  <c r="C44" i="53"/>
  <c r="D43" i="53"/>
  <c r="C43" i="53"/>
  <c r="D42" i="53"/>
  <c r="C42" i="53"/>
  <c r="D41" i="53"/>
  <c r="C41" i="53"/>
  <c r="D40" i="53"/>
  <c r="C40" i="53"/>
  <c r="C36" i="53"/>
  <c r="D36" i="53" s="1"/>
  <c r="D35" i="53"/>
  <c r="C35" i="53"/>
  <c r="D34" i="53"/>
  <c r="C34" i="53"/>
  <c r="D33" i="53"/>
  <c r="C33" i="53"/>
  <c r="D32" i="53"/>
  <c r="C32" i="53"/>
  <c r="D31" i="53"/>
  <c r="C31" i="53"/>
  <c r="D21" i="52"/>
  <c r="D19" i="52"/>
  <c r="D17" i="52"/>
  <c r="D18" i="51"/>
  <c r="D17" i="51"/>
  <c r="D19" i="50"/>
  <c r="D19" i="49"/>
  <c r="D19" i="48"/>
  <c r="D57" i="54" l="1"/>
  <c r="D61" i="54"/>
  <c r="D65" i="54"/>
  <c r="D58" i="54"/>
  <c r="D62" i="54"/>
  <c r="D55" i="54"/>
  <c r="D59" i="54"/>
  <c r="D63" i="54"/>
  <c r="D56" i="54"/>
  <c r="D60" i="54"/>
  <c r="D19" i="28" l="1"/>
  <c r="D18" i="28"/>
  <c r="D12" i="46"/>
  <c r="D17" i="18" l="1"/>
  <c r="D19" i="18"/>
  <c r="D18" i="18"/>
  <c r="D15" i="47"/>
  <c r="D16" i="47"/>
  <c r="D19" i="46"/>
  <c r="D20" i="46"/>
  <c r="D25" i="46" s="1"/>
  <c r="D22" i="46"/>
  <c r="D23" i="46" s="1"/>
  <c r="D27" i="46" s="1"/>
  <c r="D32" i="46"/>
  <c r="D34" i="46" s="1"/>
  <c r="D15" i="45"/>
  <c r="D25" i="45" s="1"/>
  <c r="D27" i="45" s="1"/>
  <c r="D17" i="45"/>
  <c r="D21" i="45"/>
  <c r="D23" i="45" s="1"/>
  <c r="D18" i="47" l="1"/>
  <c r="D36" i="46"/>
  <c r="F36" i="46" s="1"/>
  <c r="D19" i="45"/>
  <c r="D30" i="46"/>
  <c r="F30" i="46" s="1"/>
  <c r="D17" i="23"/>
  <c r="D18" i="44"/>
  <c r="D17" i="43"/>
  <c r="D21" i="41"/>
  <c r="D19" i="41"/>
  <c r="D17" i="41"/>
  <c r="D23" i="42"/>
  <c r="D21" i="42"/>
  <c r="D19" i="42"/>
  <c r="D22" i="40"/>
  <c r="D21" i="40"/>
  <c r="F25" i="40"/>
  <c r="D32" i="39"/>
  <c r="D33" i="39" s="1"/>
  <c r="D34" i="39" s="1"/>
  <c r="D20" i="39"/>
  <c r="D21" i="39"/>
  <c r="D22" i="39" s="1"/>
  <c r="D23" i="39" s="1"/>
  <c r="D25" i="39"/>
  <c r="D26" i="39" s="1"/>
  <c r="D27" i="39" s="1"/>
  <c r="D28" i="39" s="1"/>
  <c r="D16" i="37"/>
  <c r="D18" i="37"/>
  <c r="D20" i="37" s="1"/>
  <c r="D22" i="37" s="1"/>
  <c r="D21" i="29"/>
  <c r="D16" i="34"/>
  <c r="D18" i="34" s="1"/>
  <c r="D16" i="33"/>
  <c r="D18" i="33" s="1"/>
  <c r="D19" i="23"/>
  <c r="D14" i="11"/>
  <c r="D14" i="12"/>
  <c r="D14" i="13"/>
  <c r="D33" i="18"/>
  <c r="D32" i="18"/>
  <c r="D30" i="18"/>
  <c r="D29" i="18"/>
  <c r="D20" i="19"/>
  <c r="D22" i="19" s="1"/>
  <c r="D18" i="19"/>
  <c r="D18" i="20"/>
  <c r="D17" i="21"/>
  <c r="D19" i="21"/>
  <c r="D33" i="28"/>
  <c r="D32" i="28"/>
  <c r="D30" i="28"/>
  <c r="D29" i="28"/>
  <c r="D32" i="30"/>
  <c r="D27" i="30"/>
  <c r="D28" i="30"/>
  <c r="D29" i="30"/>
  <c r="D18" i="8"/>
  <c r="D17" i="9"/>
  <c r="D18" i="9" s="1"/>
  <c r="D19" i="9" s="1"/>
  <c r="D20" i="9" s="1"/>
  <c r="D22" i="9" s="1"/>
  <c r="D16" i="10"/>
  <c r="D14" i="10"/>
  <c r="D35" i="18" l="1"/>
  <c r="D37" i="18"/>
  <c r="D25" i="40"/>
  <c r="D26" i="40" s="1"/>
  <c r="D27" i="40" s="1"/>
  <c r="D28" i="40" s="1"/>
  <c r="D29" i="40" s="1"/>
  <c r="D30" i="30"/>
  <c r="F26" i="40"/>
  <c r="D30" i="39"/>
  <c r="D36" i="39" s="1"/>
  <c r="D38" i="39" s="1"/>
  <c r="D26" i="29"/>
  <c r="D27" i="29" s="1"/>
  <c r="D37" i="28"/>
  <c r="D41" i="28"/>
  <c r="D39" i="28"/>
  <c r="D35" i="28"/>
  <c r="G25" i="40" l="1"/>
  <c r="D32" i="40" s="1"/>
  <c r="G26" i="40"/>
  <c r="D33" i="40" s="1"/>
  <c r="F27" i="40"/>
  <c r="G27" i="40" l="1"/>
  <c r="D34" i="40" s="1"/>
  <c r="F28" i="40"/>
  <c r="G28" i="40" l="1"/>
  <c r="D35" i="40" s="1"/>
  <c r="F29" i="40"/>
  <c r="G29" i="40" s="1"/>
  <c r="D36" i="40" s="1"/>
  <c r="D37" i="40" l="1"/>
  <c r="D39" i="40" s="1"/>
  <c r="D41" i="40" s="1"/>
</calcChain>
</file>

<file path=xl/sharedStrings.xml><?xml version="1.0" encoding="utf-8"?>
<sst xmlns="http://schemas.openxmlformats.org/spreadsheetml/2006/main" count="546" uniqueCount="255">
  <si>
    <t>Question 1</t>
  </si>
  <si>
    <t>Input area:</t>
  </si>
  <si>
    <t>Output area:</t>
  </si>
  <si>
    <t>Question 2</t>
  </si>
  <si>
    <t>Question 3</t>
  </si>
  <si>
    <t>Coupon rate</t>
  </si>
  <si>
    <t>Yield to maturity</t>
  </si>
  <si>
    <t>Question 4</t>
  </si>
  <si>
    <t>Settlement date</t>
  </si>
  <si>
    <t>Maturity date</t>
  </si>
  <si>
    <t>Annual coupon rate</t>
  </si>
  <si>
    <t>Coupons per year</t>
  </si>
  <si>
    <t>Face value (% of par)</t>
  </si>
  <si>
    <t>Bond price (% of par)</t>
  </si>
  <si>
    <t>Question 5</t>
  </si>
  <si>
    <t>Face value</t>
  </si>
  <si>
    <t>Bond price</t>
  </si>
  <si>
    <t>Question 6</t>
  </si>
  <si>
    <t>Question 7</t>
  </si>
  <si>
    <t>Question 8</t>
  </si>
  <si>
    <t>Question 9</t>
  </si>
  <si>
    <t>Treasury rate</t>
  </si>
  <si>
    <t>Inflation rate</t>
  </si>
  <si>
    <t>Real rate</t>
  </si>
  <si>
    <t>Question 10</t>
  </si>
  <si>
    <t>Question 11</t>
  </si>
  <si>
    <t>Investment return</t>
  </si>
  <si>
    <t>Real return</t>
  </si>
  <si>
    <t>Question 12</t>
  </si>
  <si>
    <t>Total return</t>
  </si>
  <si>
    <t>Question 13</t>
  </si>
  <si>
    <t>Today's ask price</t>
  </si>
  <si>
    <t>Change</t>
  </si>
  <si>
    <t>Bid price</t>
  </si>
  <si>
    <t>Question 14</t>
  </si>
  <si>
    <t>Ask yield</t>
  </si>
  <si>
    <t>Question 15</t>
  </si>
  <si>
    <t># of coupons per year</t>
  </si>
  <si>
    <t>Question 16</t>
  </si>
  <si>
    <t>Change in interest rate</t>
  </si>
  <si>
    <t>of a bond, the greater is its price sensitivity</t>
  </si>
  <si>
    <t>to changes in interest rates.</t>
  </si>
  <si>
    <t>Question 17</t>
  </si>
  <si>
    <t>Initial yield to maturity</t>
  </si>
  <si>
    <t>of the bond, the greater is its price sensitivity</t>
  </si>
  <si>
    <t>Question 18</t>
  </si>
  <si>
    <t>Question 19</t>
  </si>
  <si>
    <t xml:space="preserve">Current yield </t>
  </si>
  <si>
    <t>Current yield</t>
  </si>
  <si>
    <t>Question 22</t>
  </si>
  <si>
    <t>a)</t>
  </si>
  <si>
    <t>b)</t>
  </si>
  <si>
    <t>c)</t>
  </si>
  <si>
    <t>Question 23</t>
  </si>
  <si>
    <t>Years to maturity</t>
  </si>
  <si>
    <t>Question 24</t>
  </si>
  <si>
    <t>Question 25</t>
  </si>
  <si>
    <t>The maturity is indeterminate. A bond selling at par can have any length</t>
  </si>
  <si>
    <t>of maturity.</t>
  </si>
  <si>
    <t>Question 26</t>
  </si>
  <si>
    <t>Bond P:</t>
  </si>
  <si>
    <t>Bond D:</t>
  </si>
  <si>
    <t>Date one year from now</t>
  </si>
  <si>
    <t xml:space="preserve">All else held constant, premium bonds pay high </t>
  </si>
  <si>
    <t>current income while having price depreciation</t>
  </si>
  <si>
    <t>as maturity nears; discount bonds do not pay</t>
  </si>
  <si>
    <t>high current income but have price appreciation</t>
  </si>
  <si>
    <t>between current income and capital gains.</t>
  </si>
  <si>
    <t>Question 27</t>
  </si>
  <si>
    <t>Price of bond</t>
  </si>
  <si>
    <t>Date sold</t>
  </si>
  <si>
    <t>This is the rate of return you expect to earn on</t>
  </si>
  <si>
    <t>your investment when you purchase the bond.</t>
  </si>
  <si>
    <t>The realized HPY is greater than the expected</t>
  </si>
  <si>
    <t>YTM when the bond was bought because interest</t>
  </si>
  <si>
    <t>rates have dropped by 1%; bond prices rise</t>
  </si>
  <si>
    <t>when yields fall.</t>
  </si>
  <si>
    <t>Question 28</t>
  </si>
  <si>
    <t>Bond M:</t>
  </si>
  <si>
    <t>Amount of first round interest payment</t>
  </si>
  <si>
    <t>Amount of second round</t>
  </si>
  <si>
    <t>Bond N:</t>
  </si>
  <si>
    <t>Required return on both bonds</t>
  </si>
  <si>
    <t>Years to first round of interest payments</t>
  </si>
  <si>
    <t>Years to second round</t>
  </si>
  <si>
    <t>Par value</t>
  </si>
  <si>
    <t>Input boxes in tan</t>
  </si>
  <si>
    <t>Output boxes in yellow</t>
  </si>
  <si>
    <t>Given data in blue</t>
  </si>
  <si>
    <t>Calculations in red</t>
  </si>
  <si>
    <t>Answers in green</t>
  </si>
  <si>
    <t>Price</t>
  </si>
  <si>
    <t>Approximate real rate</t>
  </si>
  <si>
    <t>Exact real rate</t>
  </si>
  <si>
    <t>The bond is at a:</t>
  </si>
  <si>
    <t>Date</t>
  </si>
  <si>
    <t>Maturity</t>
  </si>
  <si>
    <t>Last price</t>
  </si>
  <si>
    <t>Question 20</t>
  </si>
  <si>
    <t>Months to next maturity</t>
  </si>
  <si>
    <t>Accrued interest</t>
  </si>
  <si>
    <t>Clean price</t>
  </si>
  <si>
    <t>Question 21</t>
  </si>
  <si>
    <t>Dirty price</t>
  </si>
  <si>
    <t>Invoice price</t>
  </si>
  <si>
    <t>Real price of roses</t>
  </si>
  <si>
    <t>Number of years</t>
  </si>
  <si>
    <t>Discount rate</t>
  </si>
  <si>
    <t>Real rate (EAR)</t>
  </si>
  <si>
    <t>Real rate (APR)</t>
  </si>
  <si>
    <t>Weekly rate</t>
  </si>
  <si>
    <t xml:space="preserve">Present value </t>
  </si>
  <si>
    <t>Monthly stock deposit</t>
  </si>
  <si>
    <t>Monthly bond deposit</t>
  </si>
  <si>
    <t>Bond account EAR</t>
  </si>
  <si>
    <t>Stock account EAR</t>
  </si>
  <si>
    <t>Years for savings</t>
  </si>
  <si>
    <t>Years for withdrawals</t>
  </si>
  <si>
    <t>Stock account real rate (EAR)</t>
  </si>
  <si>
    <t>Stock account real rate (APR)</t>
  </si>
  <si>
    <t>Monthly stock account return</t>
  </si>
  <si>
    <t>FV of stock account (real dollars)</t>
  </si>
  <si>
    <t>Monthly bond account return</t>
  </si>
  <si>
    <t>FV of bond account (real dollars)</t>
  </si>
  <si>
    <t>Bond account real rate (EAR)</t>
  </si>
  <si>
    <t>Bond account real rate (APR)</t>
  </si>
  <si>
    <t>Total account value at retirement</t>
  </si>
  <si>
    <t>Return in retirement (EAR)</t>
  </si>
  <si>
    <t>Retirement EAR</t>
  </si>
  <si>
    <t>Retirement APR</t>
  </si>
  <si>
    <t>Monthly rate in retirement</t>
  </si>
  <si>
    <t>Annual fee</t>
  </si>
  <si>
    <t>Current customer base</t>
  </si>
  <si>
    <t>Increase in annual fee</t>
  </si>
  <si>
    <t>Increase in membership</t>
  </si>
  <si>
    <t>Annual expenses</t>
  </si>
  <si>
    <t>Cost of boat in 5 years</t>
  </si>
  <si>
    <t>Return earned</t>
  </si>
  <si>
    <t>Effective growth rate</t>
  </si>
  <si>
    <t>Year</t>
  </si>
  <si>
    <t>Revenue</t>
  </si>
  <si>
    <t>Costs</t>
  </si>
  <si>
    <t>Savings</t>
  </si>
  <si>
    <t>Increase in expenses</t>
  </si>
  <si>
    <t>Revenue in current year</t>
  </si>
  <si>
    <t>Future value of savings</t>
  </si>
  <si>
    <t>Total future value of savings</t>
  </si>
  <si>
    <t>Value of savings after buying boat</t>
  </si>
  <si>
    <t>Amount of withdrawal</t>
  </si>
  <si>
    <t>Faulk Corp.</t>
  </si>
  <si>
    <t>Initial price of Faulk bond</t>
  </si>
  <si>
    <t xml:space="preserve">Price after change </t>
  </si>
  <si>
    <t>% change in Faulk bond</t>
  </si>
  <si>
    <t xml:space="preserve">NOTE: Some functions used in these spreadsheets may require that </t>
  </si>
  <si>
    <t>the "Analysis ToolPak" or "Solver Add-in" be installed in Excel.</t>
  </si>
  <si>
    <t xml:space="preserve">Treasury rate </t>
  </si>
  <si>
    <t xml:space="preserve">Previous day price </t>
  </si>
  <si>
    <t xml:space="preserve">YTM </t>
  </si>
  <si>
    <t xml:space="preserve">Bid-Ask spread </t>
  </si>
  <si>
    <t xml:space="preserve">Yield to maturity </t>
  </si>
  <si>
    <t xml:space="preserve">Effective annual rate </t>
  </si>
  <si>
    <t xml:space="preserve">Current price </t>
  </si>
  <si>
    <t xml:space="preserve">Years to maturity </t>
  </si>
  <si>
    <t xml:space="preserve">Current price of Bond P </t>
  </si>
  <si>
    <t xml:space="preserve">Price in 1 year </t>
  </si>
  <si>
    <t xml:space="preserve">Current price of Bond D </t>
  </si>
  <si>
    <t xml:space="preserve">Current yield of Bond P </t>
  </si>
  <si>
    <t xml:space="preserve">Capital gains yield of Bond P </t>
  </si>
  <si>
    <t xml:space="preserve">Current yield of Bond D </t>
  </si>
  <si>
    <t xml:space="preserve">Capital gains yield of Bond D </t>
  </si>
  <si>
    <t xml:space="preserve">Price of bond when sold </t>
  </si>
  <si>
    <t xml:space="preserve">Holding period yield </t>
  </si>
  <si>
    <t xml:space="preserve">Present value of face value </t>
  </si>
  <si>
    <t xml:space="preserve">Present value of first round </t>
  </si>
  <si>
    <t xml:space="preserve">Present value of second round </t>
  </si>
  <si>
    <t xml:space="preserve">Current price of Bond M </t>
  </si>
  <si>
    <t xml:space="preserve">Current price of Bond N </t>
  </si>
  <si>
    <t xml:space="preserve">Present value of final payment </t>
  </si>
  <si>
    <t xml:space="preserve">Present value of coupon payments </t>
  </si>
  <si>
    <t xml:space="preserve">Coupon rate </t>
  </si>
  <si>
    <t xml:space="preserve">Semiannual coupon payment </t>
  </si>
  <si>
    <t>Annual coupon payment</t>
  </si>
  <si>
    <t>Months to next coupon</t>
  </si>
  <si>
    <t>To install these:</t>
  </si>
  <si>
    <t>1) Click the Microsoft Office Button, and then click Excel Options</t>
  </si>
  <si>
    <t>2) Click Add-Ins, and then in the Manage box, select Add-ins.</t>
  </si>
  <si>
    <t>3) Click Go.</t>
  </si>
  <si>
    <t>4) In the Add-Ins available box, select the Solver Add-in and Analysis ToolPak check boxes, and then click OK.</t>
  </si>
  <si>
    <t xml:space="preserve">5) After you load the Solver Add-in, the Solver command is available in the Analysis group on the Data tab. </t>
  </si>
  <si>
    <t>Chapter 8</t>
  </si>
  <si>
    <t>Question 31</t>
  </si>
  <si>
    <t>Question 30</t>
  </si>
  <si>
    <t>a bond.</t>
  </si>
  <si>
    <t>interest deductions occur earlier in the life of</t>
  </si>
  <si>
    <t>method when allowed because the valuable</t>
  </si>
  <si>
    <t>The company will prefer the straight-line</t>
  </si>
  <si>
    <t>d)</t>
  </si>
  <si>
    <t xml:space="preserve">Annual interest deduction </t>
  </si>
  <si>
    <t xml:space="preserve">Total interest </t>
  </si>
  <si>
    <t xml:space="preserve">Last year deduction </t>
  </si>
  <si>
    <t>Price one year before maturity</t>
  </si>
  <si>
    <t xml:space="preserve">First year deduction </t>
  </si>
  <si>
    <t>Price in one year</t>
  </si>
  <si>
    <t xml:space="preserve">Price at issuance </t>
  </si>
  <si>
    <t>Required return</t>
  </si>
  <si>
    <t>in the form of the interest tax shield of debt.</t>
  </si>
  <si>
    <t>During the life of a bond, the zero generates cash inflows to the firm</t>
  </si>
  <si>
    <t xml:space="preserve">Zero coupon bond </t>
  </si>
  <si>
    <t>Year one interest per bond</t>
  </si>
  <si>
    <t>Zero price in one year</t>
  </si>
  <si>
    <t xml:space="preserve">Coupon bond </t>
  </si>
  <si>
    <t>Year 1 interest payments:</t>
  </si>
  <si>
    <t xml:space="preserve">Repayment of zeroes </t>
  </si>
  <si>
    <t xml:space="preserve">Repayment of coupon bonds </t>
  </si>
  <si>
    <t xml:space="preserve"># of zeroes needed </t>
  </si>
  <si>
    <t xml:space="preserve">Price of zero coupon bond </t>
  </si>
  <si>
    <t xml:space="preserve"># of coupon bonds needed </t>
  </si>
  <si>
    <t xml:space="preserve">Price of coupon bond </t>
  </si>
  <si>
    <t>Tax rate</t>
  </si>
  <si>
    <t>Amount needed</t>
  </si>
  <si>
    <t>Price at end of year</t>
  </si>
  <si>
    <t>Price when purchased</t>
  </si>
  <si>
    <t>YTM</t>
  </si>
  <si>
    <t>Problems 1-35</t>
  </si>
  <si>
    <t>Question 35</t>
  </si>
  <si>
    <t>Question 34</t>
  </si>
  <si>
    <t>Question 33</t>
  </si>
  <si>
    <t>Question 29</t>
  </si>
  <si>
    <t>Par value (dollars)</t>
  </si>
  <si>
    <t>Today's bid</t>
  </si>
  <si>
    <t>Redemption (% of par)</t>
  </si>
  <si>
    <t>Maturity (years)</t>
  </si>
  <si>
    <t>Price of Bond Modigliani</t>
  </si>
  <si>
    <t>Price of Bond Miller</t>
  </si>
  <si>
    <t>All else held equal, the premium over par value for a premium bond declines as maturity approaches, and the discount from par value for a discount bond declines as maturity approaches. This is called “pull to par.” In both cases, the largest percentage price changes occur at the shortest maturity lengths.</t>
  </si>
  <si>
    <t>Bond Laurel:</t>
  </si>
  <si>
    <t xml:space="preserve">Price of Bond Laurel </t>
  </si>
  <si>
    <t xml:space="preserve">% change in Bond Laurel </t>
  </si>
  <si>
    <t>Bond Laurel</t>
  </si>
  <si>
    <t>Bond Hardy:</t>
  </si>
  <si>
    <t xml:space="preserve">Price of Bond Hardy </t>
  </si>
  <si>
    <t xml:space="preserve">% change in Bond Hardy </t>
  </si>
  <si>
    <t>Bond Hardy</t>
  </si>
  <si>
    <t>Interest income</t>
  </si>
  <si>
    <t>Modigliani bond:</t>
  </si>
  <si>
    <t>Miller bond:</t>
  </si>
  <si>
    <t>Price of Miller bond</t>
  </si>
  <si>
    <t>Price of Modigliani bond</t>
  </si>
  <si>
    <t>Yoo Company</t>
  </si>
  <si>
    <t>Initial price of Yoo bond</t>
  </si>
  <si>
    <t>% change in Yoo bond</t>
  </si>
  <si>
    <t xml:space="preserve">All else the same, the longer the maturity </t>
  </si>
  <si>
    <t>All else the same, the lower the coupon rate</t>
  </si>
  <si>
    <t>Last withdrawal in nominal terms</t>
  </si>
  <si>
    <t>as maturity nears. For either bond, the total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</si>
</sst>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_(* #,##0_);_(* \(#,##0\);_(* &quot;-&quot;??_);_(@_)"/>
    <numFmt numFmtId="167" formatCode="0.0%"/>
    <numFmt numFmtId="168" formatCode="_(* #,##0.0000_);_(* \(#,##0.0000\);_(* &quot;-&quot;??_);_(@_)"/>
    <numFmt numFmtId="169" formatCode="0.000%"/>
    <numFmt numFmtId="170" formatCode="_(* #,##0.000_);_(* \(#,##0.000\);_(* &quot;-&quot;???_);_(@_)"/>
    <numFmt numFmtId="171" formatCode="_(* #,##0.0_);_(* \(#,##0.0\);_(* &quot;-&quot;?_);_(@_)"/>
    <numFmt numFmtId="172" formatCode="m/d/yyyy;@"/>
    <numFmt numFmtId="173" formatCode="0.0000%"/>
    <numFmt numFmtId="174" formatCode="_(* #,##0_);_(* \(#,##0\);_(* &quot;-&quot;?_);_(@_)"/>
    <numFmt numFmtId="175" formatCode="_([$€-2]\ * #,##0.00_);_([$€-2]\ * \(#,##0.00\);_([$€-2]\ * &quot;-&quot;??_);_(@_)"/>
    <numFmt numFmtId="176" formatCode="0.00000"/>
    <numFmt numFmtId="177" formatCode="_(* #,##0.0000_);_(* \(#,##0.0000\);_(* &quot;-&quot;????_);_(@_)"/>
    <numFmt numFmtId="178" formatCode="_(* #,##0.000_);_(* \(#,##0.000\);_(* &quot;-&quot;??_);_(@_)"/>
  </numFmts>
  <fonts count="26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12"/>
      <name val="Arial"/>
      <family val="2"/>
    </font>
    <font>
      <sz val="12"/>
      <color indexed="10"/>
      <name val="Arial"/>
      <family val="2"/>
    </font>
    <font>
      <b/>
      <sz val="12"/>
      <color indexed="57"/>
      <name val="Arial"/>
      <family val="2"/>
    </font>
    <font>
      <sz val="12"/>
      <color indexed="48"/>
      <name val="Arial"/>
      <family val="2"/>
    </font>
    <font>
      <sz val="10"/>
      <color indexed="8"/>
      <name val="Arial"/>
      <family val="2"/>
    </font>
    <font>
      <sz val="48"/>
      <color indexed="52"/>
      <name val="Arial"/>
      <family val="2"/>
    </font>
    <font>
      <sz val="10"/>
      <color indexed="19"/>
      <name val="Arial"/>
      <family val="2"/>
    </font>
    <font>
      <sz val="18"/>
      <color indexed="52"/>
      <name val="Arial"/>
      <family val="2"/>
    </font>
    <font>
      <sz val="12"/>
      <color indexed="8"/>
      <name val="Arial"/>
      <family val="2"/>
    </font>
    <font>
      <b/>
      <sz val="12"/>
      <color indexed="47"/>
      <name val="Arial"/>
      <family val="2"/>
    </font>
    <font>
      <b/>
      <sz val="12"/>
      <color indexed="43"/>
      <name val="Arial"/>
      <family val="2"/>
    </font>
    <font>
      <b/>
      <sz val="12"/>
      <color indexed="48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i/>
      <u/>
      <sz val="12"/>
      <name val="Arial"/>
      <family val="2"/>
    </font>
    <font>
      <sz val="12"/>
      <color indexed="57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2"/>
      <color rgb="FFFF0000"/>
      <name val="Arial"/>
      <family val="2"/>
    </font>
    <font>
      <b/>
      <sz val="12"/>
      <color rgb="FF339966"/>
      <name val="Arial"/>
      <family val="2"/>
    </font>
    <font>
      <u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7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4" fillId="2" borderId="1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0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3" borderId="1" xfId="0" applyFont="1" applyFill="1" applyBorder="1"/>
    <xf numFmtId="0" fontId="3" fillId="3" borderId="0" xfId="0" applyFont="1" applyFill="1" applyBorder="1" applyAlignment="1"/>
    <xf numFmtId="164" fontId="5" fillId="3" borderId="0" xfId="2" applyNumberFormat="1" applyFont="1" applyFill="1" applyBorder="1"/>
    <xf numFmtId="0" fontId="3" fillId="3" borderId="0" xfId="0" applyFont="1" applyFill="1" applyBorder="1"/>
    <xf numFmtId="164" fontId="6" fillId="3" borderId="0" xfId="2" applyNumberFormat="1" applyFont="1" applyFill="1" applyBorder="1"/>
    <xf numFmtId="41" fontId="5" fillId="3" borderId="0" xfId="2" applyNumberFormat="1" applyFont="1" applyFill="1" applyBorder="1"/>
    <xf numFmtId="0" fontId="3" fillId="3" borderId="6" xfId="0" applyFont="1" applyFill="1" applyBorder="1"/>
    <xf numFmtId="0" fontId="3" fillId="3" borderId="3" xfId="0" applyFont="1" applyFill="1" applyBorder="1"/>
    <xf numFmtId="0" fontId="3" fillId="2" borderId="7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3" fillId="3" borderId="7" xfId="0" applyFont="1" applyFill="1" applyBorder="1"/>
    <xf numFmtId="0" fontId="3" fillId="3" borderId="2" xfId="0" applyFont="1" applyFill="1" applyBorder="1"/>
    <xf numFmtId="0" fontId="3" fillId="3" borderId="8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44" fontId="7" fillId="3" borderId="9" xfId="2" applyFont="1" applyFill="1" applyBorder="1"/>
    <xf numFmtId="164" fontId="5" fillId="3" borderId="3" xfId="2" applyNumberFormat="1" applyFont="1" applyFill="1" applyBorder="1"/>
    <xf numFmtId="10" fontId="7" fillId="3" borderId="9" xfId="3" applyNumberFormat="1" applyFont="1" applyFill="1" applyBorder="1"/>
    <xf numFmtId="43" fontId="7" fillId="3" borderId="0" xfId="1" applyFont="1" applyFill="1" applyBorder="1"/>
    <xf numFmtId="169" fontId="7" fillId="3" borderId="0" xfId="3" applyNumberFormat="1" applyFont="1" applyFill="1" applyBorder="1"/>
    <xf numFmtId="0" fontId="4" fillId="2" borderId="0" xfId="0" applyFont="1" applyFill="1" applyBorder="1"/>
    <xf numFmtId="43" fontId="3" fillId="2" borderId="4" xfId="1" applyFont="1" applyFill="1" applyBorder="1"/>
    <xf numFmtId="168" fontId="7" fillId="3" borderId="0" xfId="1" applyNumberFormat="1" applyFont="1" applyFill="1" applyBorder="1"/>
    <xf numFmtId="10" fontId="7" fillId="3" borderId="0" xfId="3" applyNumberFormat="1" applyFont="1" applyFill="1" applyBorder="1"/>
    <xf numFmtId="44" fontId="6" fillId="3" borderId="0" xfId="2" applyFont="1" applyFill="1" applyBorder="1"/>
    <xf numFmtId="43" fontId="6" fillId="3" borderId="0" xfId="1" applyFont="1" applyFill="1" applyBorder="1"/>
    <xf numFmtId="44" fontId="6" fillId="3" borderId="0" xfId="2" applyNumberFormat="1" applyFont="1" applyFill="1" applyBorder="1"/>
    <xf numFmtId="44" fontId="7" fillId="3" borderId="9" xfId="2" applyNumberFormat="1" applyFont="1" applyFill="1" applyBorder="1"/>
    <xf numFmtId="0" fontId="0" fillId="2" borderId="6" xfId="0" applyFill="1" applyBorder="1"/>
    <xf numFmtId="0" fontId="0" fillId="2" borderId="3" xfId="0" applyFill="1" applyBorder="1"/>
    <xf numFmtId="166" fontId="7" fillId="3" borderId="0" xfId="1" applyNumberFormat="1" applyFont="1" applyFill="1" applyBorder="1"/>
    <xf numFmtId="0" fontId="3" fillId="0" borderId="0" xfId="0" applyFont="1" applyFill="1" applyBorder="1"/>
    <xf numFmtId="37" fontId="8" fillId="2" borderId="3" xfId="2" applyNumberFormat="1" applyFont="1" applyFill="1" applyBorder="1"/>
    <xf numFmtId="9" fontId="8" fillId="2" borderId="3" xfId="3" applyFont="1" applyFill="1" applyBorder="1"/>
    <xf numFmtId="164" fontId="8" fillId="2" borderId="3" xfId="2" applyNumberFormat="1" applyFont="1" applyFill="1" applyBorder="1"/>
    <xf numFmtId="166" fontId="8" fillId="2" borderId="3" xfId="1" applyNumberFormat="1" applyFont="1" applyFill="1" applyBorder="1"/>
    <xf numFmtId="0" fontId="4" fillId="3" borderId="0" xfId="0" applyFont="1" applyFill="1" applyBorder="1"/>
    <xf numFmtId="164" fontId="5" fillId="0" borderId="0" xfId="2" applyNumberFormat="1" applyFont="1" applyFill="1" applyBorder="1"/>
    <xf numFmtId="164" fontId="6" fillId="0" borderId="6" xfId="2" applyNumberFormat="1" applyFont="1" applyFill="1" applyBorder="1"/>
    <xf numFmtId="166" fontId="7" fillId="0" borderId="6" xfId="1" applyNumberFormat="1" applyFont="1" applyFill="1" applyBorder="1"/>
    <xf numFmtId="44" fontId="6" fillId="0" borderId="6" xfId="2" applyNumberFormat="1" applyFont="1" applyFill="1" applyBorder="1"/>
    <xf numFmtId="0" fontId="3" fillId="0" borderId="6" xfId="0" applyFont="1" applyFill="1" applyBorder="1"/>
    <xf numFmtId="0" fontId="0" fillId="2" borderId="7" xfId="0" applyFill="1" applyBorder="1"/>
    <xf numFmtId="0" fontId="0" fillId="2" borderId="2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5" xfId="0" applyFill="1" applyBorder="1"/>
    <xf numFmtId="0" fontId="3" fillId="3" borderId="0" xfId="0" applyFont="1" applyFill="1"/>
    <xf numFmtId="166" fontId="6" fillId="3" borderId="0" xfId="1" applyNumberFormat="1" applyFont="1" applyFill="1" applyBorder="1"/>
    <xf numFmtId="39" fontId="6" fillId="3" borderId="10" xfId="1" applyNumberFormat="1" applyFont="1" applyFill="1" applyBorder="1"/>
    <xf numFmtId="10" fontId="8" fillId="0" borderId="0" xfId="3" applyNumberFormat="1" applyFont="1" applyFill="1" applyBorder="1"/>
    <xf numFmtId="14" fontId="8" fillId="0" borderId="0" xfId="2" applyNumberFormat="1" applyFont="1" applyFill="1" applyBorder="1"/>
    <xf numFmtId="164" fontId="8" fillId="0" borderId="0" xfId="2" applyNumberFormat="1" applyFont="1" applyFill="1" applyBorder="1"/>
    <xf numFmtId="37" fontId="8" fillId="0" borderId="0" xfId="2" applyNumberFormat="1" applyFont="1" applyFill="1" applyBorder="1"/>
    <xf numFmtId="0" fontId="4" fillId="2" borderId="2" xfId="0" applyFont="1" applyFill="1" applyBorder="1"/>
    <xf numFmtId="10" fontId="8" fillId="2" borderId="3" xfId="3" applyNumberFormat="1" applyFont="1" applyFill="1" applyBorder="1"/>
    <xf numFmtId="14" fontId="8" fillId="2" borderId="3" xfId="2" applyNumberFormat="1" applyFont="1" applyFill="1" applyBorder="1"/>
    <xf numFmtId="44" fontId="6" fillId="3" borderId="0" xfId="2" applyFont="1" applyFill="1" applyBorder="1" applyAlignment="1"/>
    <xf numFmtId="44" fontId="7" fillId="3" borderId="9" xfId="0" applyNumberFormat="1" applyFont="1" applyFill="1" applyBorder="1" applyAlignment="1"/>
    <xf numFmtId="0" fontId="9" fillId="4" borderId="0" xfId="0" applyFont="1" applyFill="1" applyBorder="1"/>
    <xf numFmtId="0" fontId="9" fillId="4" borderId="0" xfId="0" applyFont="1" applyFill="1"/>
    <xf numFmtId="0" fontId="0" fillId="4" borderId="0" xfId="0" applyFill="1"/>
    <xf numFmtId="2" fontId="10" fillId="4" borderId="0" xfId="0" applyNumberFormat="1" applyFont="1" applyFill="1" applyBorder="1" applyAlignment="1"/>
    <xf numFmtId="0" fontId="11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3" fillId="4" borderId="0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6" fillId="4" borderId="0" xfId="0" applyFont="1" applyFill="1" applyBorder="1"/>
    <xf numFmtId="0" fontId="17" fillId="4" borderId="0" xfId="0" applyFont="1" applyFill="1" applyBorder="1"/>
    <xf numFmtId="0" fontId="7" fillId="4" borderId="0" xfId="0" applyFont="1" applyFill="1" applyBorder="1"/>
    <xf numFmtId="0" fontId="0" fillId="4" borderId="0" xfId="0" applyFill="1" applyBorder="1"/>
    <xf numFmtId="14" fontId="5" fillId="2" borderId="0" xfId="2" applyNumberFormat="1" applyFont="1" applyFill="1" applyBorder="1"/>
    <xf numFmtId="14" fontId="5" fillId="2" borderId="0" xfId="1" applyNumberFormat="1" applyFont="1" applyFill="1" applyBorder="1"/>
    <xf numFmtId="9" fontId="5" fillId="2" borderId="0" xfId="3" applyNumberFormat="1" applyFont="1" applyFill="1" applyBorder="1"/>
    <xf numFmtId="166" fontId="5" fillId="2" borderId="0" xfId="1" applyNumberFormat="1" applyFont="1" applyFill="1" applyBorder="1"/>
    <xf numFmtId="164" fontId="5" fillId="2" borderId="0" xfId="2" applyNumberFormat="1" applyFont="1" applyFill="1" applyBorder="1"/>
    <xf numFmtId="9" fontId="5" fillId="2" borderId="0" xfId="3" applyFont="1" applyFill="1" applyBorder="1"/>
    <xf numFmtId="10" fontId="5" fillId="2" borderId="0" xfId="3" applyNumberFormat="1" applyFont="1" applyFill="1" applyBorder="1"/>
    <xf numFmtId="3" fontId="5" fillId="2" borderId="0" xfId="1" applyNumberFormat="1" applyFont="1" applyFill="1" applyBorder="1"/>
    <xf numFmtId="165" fontId="5" fillId="2" borderId="0" xfId="1" applyNumberFormat="1" applyFont="1" applyFill="1" applyBorder="1"/>
    <xf numFmtId="167" fontId="5" fillId="2" borderId="0" xfId="3" applyNumberFormat="1" applyFont="1" applyFill="1" applyBorder="1"/>
    <xf numFmtId="169" fontId="5" fillId="2" borderId="0" xfId="3" applyNumberFormat="1" applyFont="1" applyFill="1" applyBorder="1"/>
    <xf numFmtId="37" fontId="5" fillId="2" borderId="0" xfId="2" applyNumberFormat="1" applyFont="1" applyFill="1" applyBorder="1"/>
    <xf numFmtId="14" fontId="5" fillId="2" borderId="0" xfId="0" applyNumberFormat="1" applyFont="1" applyFill="1" applyBorder="1"/>
    <xf numFmtId="37" fontId="5" fillId="2" borderId="0" xfId="0" applyNumberFormat="1" applyFont="1" applyFill="1" applyBorder="1"/>
    <xf numFmtId="37" fontId="5" fillId="2" borderId="0" xfId="1" applyNumberFormat="1" applyFont="1" applyFill="1" applyBorder="1"/>
    <xf numFmtId="171" fontId="5" fillId="2" borderId="0" xfId="0" applyNumberFormat="1" applyFont="1" applyFill="1" applyBorder="1"/>
    <xf numFmtId="43" fontId="6" fillId="3" borderId="0" xfId="1" applyNumberFormat="1" applyFont="1" applyFill="1" applyBorder="1"/>
    <xf numFmtId="172" fontId="5" fillId="2" borderId="0" xfId="3" applyNumberFormat="1" applyFont="1" applyFill="1" applyBorder="1"/>
    <xf numFmtId="41" fontId="5" fillId="2" borderId="0" xfId="2" applyNumberFormat="1" applyFont="1" applyFill="1" applyBorder="1"/>
    <xf numFmtId="10" fontId="7" fillId="3" borderId="9" xfId="3" applyNumberFormat="1" applyFont="1" applyFill="1" applyBorder="1" applyAlignment="1">
      <alignment horizontal="right"/>
    </xf>
    <xf numFmtId="44" fontId="5" fillId="2" borderId="0" xfId="0" applyNumberFormat="1" applyFont="1" applyFill="1" applyBorder="1"/>
    <xf numFmtId="42" fontId="5" fillId="2" borderId="0" xfId="1" applyNumberFormat="1" applyFont="1" applyFill="1" applyBorder="1"/>
    <xf numFmtId="42" fontId="5" fillId="2" borderId="0" xfId="3" applyNumberFormat="1" applyFont="1" applyFill="1" applyBorder="1"/>
    <xf numFmtId="41" fontId="5" fillId="2" borderId="0" xfId="3" applyNumberFormat="1" applyFont="1" applyFill="1" applyBorder="1"/>
    <xf numFmtId="10" fontId="6" fillId="3" borderId="0" xfId="3" applyNumberFormat="1" applyFont="1" applyFill="1" applyBorder="1"/>
    <xf numFmtId="10" fontId="6" fillId="3" borderId="0" xfId="3" applyNumberFormat="1" applyFont="1" applyFill="1" applyBorder="1" applyAlignment="1"/>
    <xf numFmtId="44" fontId="6" fillId="3" borderId="0" xfId="3" applyNumberFormat="1" applyFont="1" applyFill="1" applyBorder="1" applyAlignment="1"/>
    <xf numFmtId="8" fontId="7" fillId="3" borderId="0" xfId="0" applyNumberFormat="1" applyFont="1" applyFill="1" applyBorder="1" applyAlignment="1"/>
    <xf numFmtId="44" fontId="7" fillId="3" borderId="0" xfId="0" applyNumberFormat="1" applyFont="1" applyFill="1" applyBorder="1" applyAlignment="1"/>
    <xf numFmtId="0" fontId="3" fillId="3" borderId="0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10" fontId="19" fillId="3" borderId="0" xfId="3" applyNumberFormat="1" applyFont="1" applyFill="1" applyBorder="1" applyAlignment="1">
      <alignment horizontal="center"/>
    </xf>
    <xf numFmtId="166" fontId="19" fillId="3" borderId="0" xfId="1" applyNumberFormat="1" applyFont="1" applyFill="1" applyBorder="1" applyAlignment="1">
      <alignment horizontal="center"/>
    </xf>
    <xf numFmtId="43" fontId="6" fillId="3" borderId="0" xfId="3" applyNumberFormat="1" applyFont="1" applyFill="1" applyBorder="1" applyAlignment="1"/>
    <xf numFmtId="42" fontId="6" fillId="3" borderId="0" xfId="3" applyNumberFormat="1" applyFont="1" applyFill="1" applyBorder="1"/>
    <xf numFmtId="40" fontId="6" fillId="3" borderId="0" xfId="3" applyNumberFormat="1" applyFont="1" applyFill="1" applyBorder="1" applyAlignment="1"/>
    <xf numFmtId="40" fontId="6" fillId="3" borderId="10" xfId="3" applyNumberFormat="1" applyFont="1" applyFill="1" applyBorder="1" applyAlignment="1"/>
    <xf numFmtId="44" fontId="6" fillId="3" borderId="0" xfId="2" applyNumberFormat="1" applyFont="1" applyFill="1" applyBorder="1" applyAlignment="1"/>
    <xf numFmtId="44" fontId="6" fillId="3" borderId="0" xfId="0" applyNumberFormat="1" applyFont="1" applyFill="1" applyBorder="1" applyAlignment="1"/>
    <xf numFmtId="164" fontId="19" fillId="3" borderId="0" xfId="2" applyNumberFormat="1" applyFont="1" applyFill="1" applyBorder="1" applyAlignment="1">
      <alignment horizontal="center"/>
    </xf>
    <xf numFmtId="43" fontId="6" fillId="3" borderId="0" xfId="2" applyNumberFormat="1" applyFont="1" applyFill="1" applyBorder="1"/>
    <xf numFmtId="44" fontId="6" fillId="3" borderId="0" xfId="1" applyNumberFormat="1" applyFont="1" applyFill="1" applyBorder="1"/>
    <xf numFmtId="174" fontId="5" fillId="2" borderId="0" xfId="0" applyNumberFormat="1" applyFont="1" applyFill="1" applyBorder="1"/>
    <xf numFmtId="44" fontId="20" fillId="3" borderId="0" xfId="2" applyNumberFormat="1" applyFont="1" applyFill="1" applyBorder="1"/>
    <xf numFmtId="0" fontId="7" fillId="3" borderId="0" xfId="0" applyFont="1" applyFill="1" applyBorder="1"/>
    <xf numFmtId="44" fontId="7" fillId="3" borderId="9" xfId="0" applyNumberFormat="1" applyFont="1" applyFill="1" applyBorder="1"/>
    <xf numFmtId="0" fontId="21" fillId="4" borderId="0" xfId="0" applyFont="1" applyFill="1" applyBorder="1"/>
    <xf numFmtId="173" fontId="6" fillId="3" borderId="0" xfId="3" applyNumberFormat="1" applyFont="1" applyFill="1" applyBorder="1"/>
    <xf numFmtId="44" fontId="6" fillId="3" borderId="0" xfId="0" applyNumberFormat="1" applyFont="1" applyFill="1" applyBorder="1"/>
    <xf numFmtId="170" fontId="5" fillId="2" borderId="0" xfId="3" applyNumberFormat="1" applyFont="1" applyFill="1" applyBorder="1"/>
    <xf numFmtId="173" fontId="6" fillId="3" borderId="0" xfId="3" applyNumberFormat="1" applyFont="1" applyFill="1" applyBorder="1" applyAlignment="1"/>
    <xf numFmtId="0" fontId="22" fillId="5" borderId="0" xfId="0" applyFont="1" applyFill="1"/>
    <xf numFmtId="0" fontId="22" fillId="5" borderId="0" xfId="0" applyFont="1" applyFill="1" applyAlignment="1"/>
    <xf numFmtId="0" fontId="22" fillId="5" borderId="0" xfId="0" applyFont="1" applyFill="1" applyBorder="1"/>
    <xf numFmtId="0" fontId="22" fillId="5" borderId="0" xfId="0" applyFont="1" applyFill="1" applyBorder="1" applyAlignment="1"/>
    <xf numFmtId="0" fontId="1" fillId="0" borderId="0" xfId="5"/>
    <xf numFmtId="0" fontId="3" fillId="0" borderId="0" xfId="5" applyFont="1"/>
    <xf numFmtId="0" fontId="3" fillId="3" borderId="5" xfId="5" applyFont="1" applyFill="1" applyBorder="1"/>
    <xf numFmtId="0" fontId="3" fillId="3" borderId="4" xfId="5" applyFont="1" applyFill="1" applyBorder="1"/>
    <xf numFmtId="0" fontId="3" fillId="3" borderId="8" xfId="5" applyFont="1" applyFill="1" applyBorder="1"/>
    <xf numFmtId="41" fontId="5" fillId="3" borderId="3" xfId="2" applyNumberFormat="1" applyFont="1" applyFill="1" applyBorder="1"/>
    <xf numFmtId="44" fontId="7" fillId="3" borderId="0" xfId="2" applyFont="1" applyFill="1" applyBorder="1"/>
    <xf numFmtId="0" fontId="3" fillId="3" borderId="0" xfId="5" applyFont="1" applyFill="1" applyBorder="1"/>
    <xf numFmtId="0" fontId="3" fillId="3" borderId="6" xfId="5" applyFont="1" applyFill="1" applyBorder="1"/>
    <xf numFmtId="0" fontId="3" fillId="3" borderId="0" xfId="5" applyFont="1" applyFill="1" applyBorder="1" applyAlignment="1"/>
    <xf numFmtId="44" fontId="7" fillId="3" borderId="0" xfId="2" applyNumberFormat="1" applyFont="1" applyFill="1" applyBorder="1"/>
    <xf numFmtId="44" fontId="23" fillId="3" borderId="0" xfId="2" applyNumberFormat="1" applyFont="1" applyFill="1" applyBorder="1"/>
    <xf numFmtId="0" fontId="3" fillId="3" borderId="2" xfId="5" applyFont="1" applyFill="1" applyBorder="1"/>
    <xf numFmtId="0" fontId="3" fillId="3" borderId="1" xfId="5" applyFont="1" applyFill="1" applyBorder="1"/>
    <xf numFmtId="0" fontId="3" fillId="3" borderId="7" xfId="5" applyFont="1" applyFill="1" applyBorder="1"/>
    <xf numFmtId="0" fontId="4" fillId="0" borderId="0" xfId="5" applyFont="1" applyBorder="1"/>
    <xf numFmtId="0" fontId="4" fillId="0" borderId="0" xfId="5" applyFont="1"/>
    <xf numFmtId="0" fontId="3" fillId="2" borderId="5" xfId="5" applyFont="1" applyFill="1" applyBorder="1"/>
    <xf numFmtId="0" fontId="3" fillId="2" borderId="4" xfId="5" applyFont="1" applyFill="1" applyBorder="1"/>
    <xf numFmtId="0" fontId="3" fillId="2" borderId="8" xfId="5" applyFont="1" applyFill="1" applyBorder="1"/>
    <xf numFmtId="0" fontId="3" fillId="2" borderId="3" xfId="5" applyFont="1" applyFill="1" applyBorder="1"/>
    <xf numFmtId="0" fontId="3" fillId="2" borderId="0" xfId="5" applyFont="1" applyFill="1" applyBorder="1"/>
    <xf numFmtId="0" fontId="3" fillId="2" borderId="6" xfId="5" applyFont="1" applyFill="1" applyBorder="1"/>
    <xf numFmtId="0" fontId="3" fillId="2" borderId="2" xfId="5" applyFont="1" applyFill="1" applyBorder="1"/>
    <xf numFmtId="0" fontId="3" fillId="2" borderId="1" xfId="5" applyFont="1" applyFill="1" applyBorder="1"/>
    <xf numFmtId="0" fontId="4" fillId="2" borderId="1" xfId="5" applyFont="1" applyFill="1" applyBorder="1"/>
    <xf numFmtId="0" fontId="3" fillId="2" borderId="7" xfId="5" applyFont="1" applyFill="1" applyBorder="1"/>
    <xf numFmtId="0" fontId="3" fillId="0" borderId="0" xfId="5" applyFont="1" applyBorder="1"/>
    <xf numFmtId="0" fontId="2" fillId="0" borderId="0" xfId="5" applyFont="1"/>
    <xf numFmtId="43" fontId="7" fillId="3" borderId="11" xfId="1" applyFont="1" applyFill="1" applyBorder="1"/>
    <xf numFmtId="44" fontId="7" fillId="3" borderId="12" xfId="2" applyFont="1" applyFill="1" applyBorder="1"/>
    <xf numFmtId="44" fontId="7" fillId="3" borderId="13" xfId="2" applyFont="1" applyFill="1" applyBorder="1"/>
    <xf numFmtId="164" fontId="7" fillId="3" borderId="0" xfId="2" applyNumberFormat="1" applyFont="1" applyFill="1" applyBorder="1"/>
    <xf numFmtId="43" fontId="7" fillId="3" borderId="12" xfId="1" applyFont="1" applyFill="1" applyBorder="1"/>
    <xf numFmtId="164" fontId="7" fillId="3" borderId="13" xfId="2" applyNumberFormat="1" applyFont="1" applyFill="1" applyBorder="1"/>
    <xf numFmtId="0" fontId="4" fillId="3" borderId="0" xfId="5" applyFont="1" applyFill="1" applyBorder="1" applyAlignment="1"/>
    <xf numFmtId="164" fontId="7" fillId="3" borderId="9" xfId="2" applyNumberFormat="1" applyFont="1" applyFill="1" applyBorder="1"/>
    <xf numFmtId="166" fontId="7" fillId="3" borderId="9" xfId="1" applyNumberFormat="1" applyFont="1" applyFill="1" applyBorder="1"/>
    <xf numFmtId="0" fontId="3" fillId="3" borderId="3" xfId="5" applyFont="1" applyFill="1" applyBorder="1"/>
    <xf numFmtId="0" fontId="3" fillId="0" borderId="0" xfId="5" applyFont="1" applyFill="1" applyBorder="1"/>
    <xf numFmtId="0" fontId="1" fillId="0" borderId="0" xfId="4"/>
    <xf numFmtId="0" fontId="3" fillId="0" borderId="0" xfId="4" applyFont="1"/>
    <xf numFmtId="0" fontId="3" fillId="3" borderId="5" xfId="4" applyFont="1" applyFill="1" applyBorder="1"/>
    <xf numFmtId="0" fontId="3" fillId="3" borderId="4" xfId="4" applyFont="1" applyFill="1" applyBorder="1"/>
    <xf numFmtId="0" fontId="3" fillId="3" borderId="8" xfId="4" applyFont="1" applyFill="1" applyBorder="1"/>
    <xf numFmtId="0" fontId="3" fillId="3" borderId="3" xfId="4" applyFont="1" applyFill="1" applyBorder="1"/>
    <xf numFmtId="44" fontId="24" fillId="3" borderId="9" xfId="3" applyNumberFormat="1" applyFont="1" applyFill="1" applyBorder="1"/>
    <xf numFmtId="0" fontId="3" fillId="3" borderId="0" xfId="4" applyFont="1" applyFill="1" applyBorder="1"/>
    <xf numFmtId="0" fontId="3" fillId="3" borderId="6" xfId="4" applyFont="1" applyFill="1" applyBorder="1"/>
    <xf numFmtId="3" fontId="6" fillId="3" borderId="0" xfId="4" applyNumberFormat="1" applyFont="1" applyFill="1" applyBorder="1"/>
    <xf numFmtId="44" fontId="6" fillId="3" borderId="0" xfId="4" applyNumberFormat="1" applyFont="1" applyFill="1" applyBorder="1"/>
    <xf numFmtId="44" fontId="6" fillId="3" borderId="0" xfId="3" applyNumberFormat="1" applyFont="1" applyFill="1" applyBorder="1"/>
    <xf numFmtId="0" fontId="3" fillId="3" borderId="2" xfId="4" applyFont="1" applyFill="1" applyBorder="1"/>
    <xf numFmtId="0" fontId="3" fillId="3" borderId="1" xfId="4" applyFont="1" applyFill="1" applyBorder="1"/>
    <xf numFmtId="0" fontId="3" fillId="3" borderId="7" xfId="4" applyFont="1" applyFill="1" applyBorder="1"/>
    <xf numFmtId="0" fontId="4" fillId="0" borderId="0" xfId="4" applyFont="1" applyBorder="1"/>
    <xf numFmtId="0" fontId="4" fillId="0" borderId="0" xfId="4" applyFont="1"/>
    <xf numFmtId="0" fontId="3" fillId="2" borderId="5" xfId="4" applyFont="1" applyFill="1" applyBorder="1"/>
    <xf numFmtId="0" fontId="3" fillId="2" borderId="4" xfId="4" applyFont="1" applyFill="1" applyBorder="1"/>
    <xf numFmtId="0" fontId="3" fillId="2" borderId="8" xfId="4" applyFont="1" applyFill="1" applyBorder="1"/>
    <xf numFmtId="0" fontId="3" fillId="2" borderId="3" xfId="4" applyFont="1" applyFill="1" applyBorder="1"/>
    <xf numFmtId="0" fontId="3" fillId="2" borderId="0" xfId="4" applyFont="1" applyFill="1" applyBorder="1"/>
    <xf numFmtId="0" fontId="3" fillId="2" borderId="6" xfId="4" applyFont="1" applyFill="1" applyBorder="1"/>
    <xf numFmtId="164" fontId="5" fillId="2" borderId="0" xfId="3" applyNumberFormat="1" applyFont="1" applyFill="1" applyBorder="1"/>
    <xf numFmtId="0" fontId="3" fillId="2" borderId="2" xfId="4" applyFont="1" applyFill="1" applyBorder="1"/>
    <xf numFmtId="0" fontId="3" fillId="2" borderId="1" xfId="4" applyFont="1" applyFill="1" applyBorder="1"/>
    <xf numFmtId="0" fontId="4" fillId="2" borderId="1" xfId="4" applyFont="1" applyFill="1" applyBorder="1"/>
    <xf numFmtId="0" fontId="3" fillId="2" borderId="7" xfId="4" applyFont="1" applyFill="1" applyBorder="1"/>
    <xf numFmtId="0" fontId="3" fillId="0" borderId="0" xfId="4" applyFont="1" applyBorder="1"/>
    <xf numFmtId="0" fontId="2" fillId="0" borderId="0" xfId="4" applyFont="1"/>
    <xf numFmtId="175" fontId="7" fillId="3" borderId="9" xfId="0" applyNumberFormat="1" applyFont="1" applyFill="1" applyBorder="1"/>
    <xf numFmtId="14" fontId="23" fillId="2" borderId="0" xfId="1" applyNumberFormat="1" applyFont="1" applyFill="1" applyBorder="1"/>
    <xf numFmtId="9" fontId="23" fillId="2" borderId="0" xfId="3" applyFont="1" applyFill="1" applyBorder="1"/>
    <xf numFmtId="176" fontId="3" fillId="0" borderId="0" xfId="0" applyNumberFormat="1" applyFont="1"/>
    <xf numFmtId="14" fontId="23" fillId="2" borderId="0" xfId="1" applyNumberFormat="1" applyFont="1" applyFill="1" applyBorder="1" applyAlignment="1">
      <alignment horizontal="right"/>
    </xf>
    <xf numFmtId="177" fontId="5" fillId="2" borderId="0" xfId="1" applyNumberFormat="1" applyFont="1" applyFill="1" applyBorder="1"/>
    <xf numFmtId="164" fontId="5" fillId="2" borderId="0" xfId="1" applyNumberFormat="1" applyFont="1" applyFill="1" applyBorder="1"/>
    <xf numFmtId="0" fontId="3" fillId="3" borderId="0" xfId="4" applyFont="1" applyFill="1" applyBorder="1" applyAlignment="1"/>
    <xf numFmtId="0" fontId="6" fillId="3" borderId="0" xfId="4" applyFont="1" applyFill="1" applyBorder="1"/>
    <xf numFmtId="169" fontId="7" fillId="3" borderId="9" xfId="3" applyNumberFormat="1" applyFont="1" applyFill="1" applyBorder="1"/>
    <xf numFmtId="44" fontId="7" fillId="3" borderId="9" xfId="1" applyNumberFormat="1" applyFont="1" applyFill="1" applyBorder="1"/>
    <xf numFmtId="0" fontId="1" fillId="0" borderId="0" xfId="9"/>
    <xf numFmtId="0" fontId="2" fillId="0" borderId="0" xfId="9" applyFont="1"/>
    <xf numFmtId="0" fontId="3" fillId="0" borderId="0" xfId="9" applyFont="1"/>
    <xf numFmtId="0" fontId="4" fillId="0" borderId="0" xfId="9" applyFont="1"/>
    <xf numFmtId="0" fontId="4" fillId="0" borderId="0" xfId="9" applyFont="1" applyBorder="1"/>
    <xf numFmtId="0" fontId="3" fillId="0" borderId="0" xfId="9" applyFont="1" applyBorder="1"/>
    <xf numFmtId="0" fontId="3" fillId="2" borderId="7" xfId="9" applyFont="1" applyFill="1" applyBorder="1"/>
    <xf numFmtId="0" fontId="4" fillId="2" borderId="1" xfId="9" applyFont="1" applyFill="1" applyBorder="1"/>
    <xf numFmtId="0" fontId="3" fillId="2" borderId="1" xfId="9" applyFont="1" applyFill="1" applyBorder="1"/>
    <xf numFmtId="0" fontId="3" fillId="2" borderId="2" xfId="9" applyFont="1" applyFill="1" applyBorder="1"/>
    <xf numFmtId="0" fontId="3" fillId="2" borderId="6" xfId="9" applyFont="1" applyFill="1" applyBorder="1"/>
    <xf numFmtId="0" fontId="4" fillId="2" borderId="0" xfId="9" applyFont="1" applyFill="1" applyBorder="1"/>
    <xf numFmtId="0" fontId="3" fillId="2" borderId="0" xfId="9" applyFont="1" applyFill="1" applyBorder="1"/>
    <xf numFmtId="0" fontId="3" fillId="2" borderId="3" xfId="9" applyFont="1" applyFill="1" applyBorder="1"/>
    <xf numFmtId="0" fontId="3" fillId="2" borderId="8" xfId="9" applyFont="1" applyFill="1" applyBorder="1"/>
    <xf numFmtId="0" fontId="3" fillId="2" borderId="4" xfId="9" applyFont="1" applyFill="1" applyBorder="1"/>
    <xf numFmtId="0" fontId="3" fillId="2" borderId="5" xfId="9" applyFont="1" applyFill="1" applyBorder="1"/>
    <xf numFmtId="0" fontId="3" fillId="6" borderId="7" xfId="9" applyFont="1" applyFill="1" applyBorder="1"/>
    <xf numFmtId="0" fontId="3" fillId="6" borderId="1" xfId="9" applyFont="1" applyFill="1" applyBorder="1"/>
    <xf numFmtId="0" fontId="3" fillId="6" borderId="2" xfId="9" applyFont="1" applyFill="1" applyBorder="1"/>
    <xf numFmtId="0" fontId="3" fillId="6" borderId="6" xfId="9" applyFont="1" applyFill="1" applyBorder="1"/>
    <xf numFmtId="0" fontId="25" fillId="6" borderId="0" xfId="9" applyFont="1" applyFill="1" applyBorder="1"/>
    <xf numFmtId="0" fontId="3" fillId="6" borderId="0" xfId="9" applyFont="1" applyFill="1" applyBorder="1"/>
    <xf numFmtId="0" fontId="3" fillId="6" borderId="3" xfId="9" applyFont="1" applyFill="1" applyBorder="1"/>
    <xf numFmtId="0" fontId="4" fillId="6" borderId="0" xfId="9" applyFont="1" applyFill="1" applyBorder="1" applyAlignment="1">
      <alignment horizontal="center"/>
    </xf>
    <xf numFmtId="1" fontId="3" fillId="6" borderId="0" xfId="9" applyNumberFormat="1" applyFont="1" applyFill="1" applyBorder="1" applyAlignment="1">
      <alignment horizontal="center" vertical="center"/>
    </xf>
    <xf numFmtId="44" fontId="7" fillId="6" borderId="9" xfId="2" applyFont="1" applyFill="1" applyBorder="1"/>
    <xf numFmtId="0" fontId="25" fillId="6" borderId="0" xfId="9" applyFont="1" applyFill="1" applyBorder="1" applyAlignment="1"/>
    <xf numFmtId="164" fontId="5" fillId="6" borderId="0" xfId="2" applyNumberFormat="1" applyFont="1" applyFill="1" applyBorder="1"/>
    <xf numFmtId="169" fontId="7" fillId="6" borderId="0" xfId="3" applyNumberFormat="1" applyFont="1" applyFill="1" applyBorder="1"/>
    <xf numFmtId="0" fontId="3" fillId="6" borderId="0" xfId="9" applyFont="1" applyFill="1" applyBorder="1" applyAlignment="1"/>
    <xf numFmtId="168" fontId="7" fillId="6" borderId="0" xfId="1" applyNumberFormat="1" applyFont="1" applyFill="1" applyBorder="1"/>
    <xf numFmtId="164" fontId="5" fillId="6" borderId="3" xfId="2" applyNumberFormat="1" applyFont="1" applyFill="1" applyBorder="1"/>
    <xf numFmtId="14" fontId="3" fillId="6" borderId="0" xfId="9" applyNumberFormat="1" applyFont="1" applyFill="1" applyBorder="1" applyAlignment="1">
      <alignment horizontal="center" vertical="center"/>
    </xf>
    <xf numFmtId="44" fontId="23" fillId="6" borderId="0" xfId="2" applyFont="1" applyFill="1" applyBorder="1"/>
    <xf numFmtId="44" fontId="23" fillId="6" borderId="0" xfId="9" applyNumberFormat="1" applyFont="1" applyFill="1" applyBorder="1"/>
    <xf numFmtId="0" fontId="3" fillId="6" borderId="8" xfId="9" applyFont="1" applyFill="1" applyBorder="1"/>
    <xf numFmtId="0" fontId="3" fillId="6" borderId="4" xfId="9" applyFont="1" applyFill="1" applyBorder="1"/>
    <xf numFmtId="0" fontId="3" fillId="6" borderId="5" xfId="9" applyFont="1" applyFill="1" applyBorder="1"/>
    <xf numFmtId="167" fontId="23" fillId="2" borderId="0" xfId="3" applyNumberFormat="1" applyFont="1" applyFill="1" applyBorder="1"/>
    <xf numFmtId="0" fontId="3" fillId="3" borderId="7" xfId="9" applyFont="1" applyFill="1" applyBorder="1"/>
    <xf numFmtId="0" fontId="3" fillId="3" borderId="1" xfId="9" applyFont="1" applyFill="1" applyBorder="1"/>
    <xf numFmtId="0" fontId="3" fillId="3" borderId="2" xfId="9" applyFont="1" applyFill="1" applyBorder="1"/>
    <xf numFmtId="0" fontId="3" fillId="3" borderId="6" xfId="9" applyFont="1" applyFill="1" applyBorder="1"/>
    <xf numFmtId="0" fontId="3" fillId="3" borderId="0" xfId="9" applyFont="1" applyFill="1" applyBorder="1"/>
    <xf numFmtId="0" fontId="3" fillId="3" borderId="3" xfId="9" applyFont="1" applyFill="1" applyBorder="1"/>
    <xf numFmtId="0" fontId="3" fillId="3" borderId="0" xfId="9" applyFont="1" applyFill="1" applyBorder="1" applyAlignment="1"/>
    <xf numFmtId="0" fontId="25" fillId="3" borderId="0" xfId="9" applyFont="1" applyFill="1" applyBorder="1" applyAlignment="1"/>
    <xf numFmtId="0" fontId="4" fillId="3" borderId="0" xfId="9" applyFont="1" applyFill="1" applyBorder="1" applyAlignment="1">
      <alignment horizontal="center"/>
    </xf>
    <xf numFmtId="168" fontId="4" fillId="3" borderId="0" xfId="1" applyNumberFormat="1" applyFont="1" applyFill="1" applyBorder="1" applyAlignment="1">
      <alignment horizontal="center"/>
    </xf>
    <xf numFmtId="9" fontId="3" fillId="3" borderId="0" xfId="3" applyFont="1" applyFill="1" applyBorder="1" applyAlignment="1">
      <alignment horizontal="center"/>
    </xf>
    <xf numFmtId="44" fontId="23" fillId="3" borderId="0" xfId="1" applyNumberFormat="1" applyFont="1" applyFill="1" applyBorder="1"/>
    <xf numFmtId="0" fontId="3" fillId="3" borderId="8" xfId="9" applyFont="1" applyFill="1" applyBorder="1"/>
    <xf numFmtId="0" fontId="3" fillId="3" borderId="4" xfId="9" applyFont="1" applyFill="1" applyBorder="1"/>
    <xf numFmtId="0" fontId="3" fillId="3" borderId="5" xfId="9" applyFont="1" applyFill="1" applyBorder="1"/>
    <xf numFmtId="178" fontId="7" fillId="3" borderId="9" xfId="1" applyNumberFormat="1" applyFont="1" applyFill="1" applyBorder="1"/>
    <xf numFmtId="0" fontId="3" fillId="6" borderId="0" xfId="9" applyFont="1" applyFill="1" applyBorder="1" applyAlignment="1">
      <alignment horizontal="left" vertical="top" wrapText="1"/>
    </xf>
  </cellXfs>
  <cellStyles count="10">
    <cellStyle name="Comma" xfId="1" builtinId="3"/>
    <cellStyle name="Comma 2" xfId="6"/>
    <cellStyle name="Currency" xfId="2" builtinId="4"/>
    <cellStyle name="Currency 2" xfId="7"/>
    <cellStyle name="Normal" xfId="0" builtinId="0"/>
    <cellStyle name="Normal 2" xfId="4"/>
    <cellStyle name="Normal 2 2" xfId="9"/>
    <cellStyle name="Normal 3" xfId="5"/>
    <cellStyle name="Percent" xfId="3" builtinId="5"/>
    <cellStyle name="Percent 2" xfId="8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Maturity and Bond Price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Bond Miller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'#17'!$D$55:$D$68</c:f>
              <c:numCache>
                <c:formatCode>0</c:formatCode>
                <c:ptCount val="14"/>
                <c:pt idx="0">
                  <c:v>13</c:v>
                </c:pt>
                <c:pt idx="1">
                  <c:v>12</c:v>
                </c:pt>
                <c:pt idx="2">
                  <c:v>11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</c:numCache>
            </c:numRef>
          </c:cat>
          <c:val>
            <c:numRef>
              <c:f>'#17'!$F$55:$F$68</c:f>
              <c:numCache>
                <c:formatCode>_("$"* #,##0.00_);_("$"* \(#,##0.00\);_("$"* "-"??_);_(@_)</c:formatCode>
                <c:ptCount val="14"/>
                <c:pt idx="0">
                  <c:v>1111.7126745243797</c:v>
                </c:pt>
                <c:pt idx="1">
                  <c:v>1105.5528964998564</c:v>
                </c:pt>
                <c:pt idx="2">
                  <c:v>1099.0623245359156</c:v>
                </c:pt>
                <c:pt idx="3">
                  <c:v>1092.2231942537246</c:v>
                </c:pt>
                <c:pt idx="4">
                  <c:v>1085.0167872873365</c:v>
                </c:pt>
                <c:pt idx="5">
                  <c:v>1077.4233800524376</c:v>
                </c:pt>
                <c:pt idx="6">
                  <c:v>1069.4221897638588</c:v>
                </c:pt>
                <c:pt idx="7">
                  <c:v>1060.9913175541049</c:v>
                </c:pt>
                <c:pt idx="8">
                  <c:v>1052.1076885372245</c:v>
                </c:pt>
                <c:pt idx="9">
                  <c:v>1042.7469886539725</c:v>
                </c:pt>
                <c:pt idx="10">
                  <c:v>1032.8835981254153</c:v>
                </c:pt>
                <c:pt idx="11">
                  <c:v>1022.4905213328458</c:v>
                </c:pt>
                <c:pt idx="12">
                  <c:v>1011.5393129320927</c:v>
                </c:pt>
                <c:pt idx="13">
                  <c:v>1000</c:v>
                </c:pt>
              </c:numCache>
            </c:numRef>
          </c:val>
          <c:smooth val="1"/>
        </c:ser>
        <c:ser>
          <c:idx val="1"/>
          <c:order val="1"/>
          <c:tx>
            <c:v>Bond Modigliani</c:v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'#17'!$D$55:$D$68</c:f>
              <c:numCache>
                <c:formatCode>0</c:formatCode>
                <c:ptCount val="14"/>
                <c:pt idx="0">
                  <c:v>13</c:v>
                </c:pt>
                <c:pt idx="1">
                  <c:v>12</c:v>
                </c:pt>
                <c:pt idx="2">
                  <c:v>11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</c:numCache>
            </c:numRef>
          </c:cat>
          <c:val>
            <c:numRef>
              <c:f>'#17'!$F$72:$F$85</c:f>
              <c:numCache>
                <c:formatCode>_("$"* #,##0.00_);_("$"* \(#,##0.00\);_("$"* "-"??_);_(@_)</c:formatCode>
                <c:ptCount val="14"/>
                <c:pt idx="0">
                  <c:v>895.76060272822315</c:v>
                </c:pt>
                <c:pt idx="1">
                  <c:v>901.06993904218939</c:v>
                </c:pt>
                <c:pt idx="2">
                  <c:v>906.72999020304496</c:v>
                </c:pt>
                <c:pt idx="3">
                  <c:v>912.76392311839481</c:v>
                </c:pt>
                <c:pt idx="4">
                  <c:v>919.19643501488417</c:v>
                </c:pt>
                <c:pt idx="5">
                  <c:v>926.05385452533619</c:v>
                </c:pt>
                <c:pt idx="6">
                  <c:v>933.36424945332556</c:v>
                </c:pt>
                <c:pt idx="7">
                  <c:v>941.15754165627663</c:v>
                </c:pt>
                <c:pt idx="8">
                  <c:v>949.46562951730903</c:v>
                </c:pt>
                <c:pt idx="9">
                  <c:v>958.32251850711168</c:v>
                </c:pt>
                <c:pt idx="10">
                  <c:v>967.76446037024721</c:v>
                </c:pt>
                <c:pt idx="11">
                  <c:v>977.83010150557925</c:v>
                </c:pt>
                <c:pt idx="12">
                  <c:v>988.56064114815706</c:v>
                </c:pt>
                <c:pt idx="13">
                  <c:v>1000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574912"/>
        <c:axId val="488575472"/>
      </c:lineChart>
      <c:catAx>
        <c:axId val="488574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Maturity</a:t>
                </a:r>
                <a:r>
                  <a:rPr lang="en-US" baseline="0"/>
                  <a:t> (Years)</a:t>
                </a:r>
                <a:endParaRPr lang="en-US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488575472"/>
        <c:crosses val="autoZero"/>
        <c:auto val="1"/>
        <c:lblAlgn val="ctr"/>
        <c:lblOffset val="100"/>
        <c:noMultiLvlLbl val="0"/>
      </c:catAx>
      <c:valAx>
        <c:axId val="488575472"/>
        <c:scaling>
          <c:orientation val="minMax"/>
          <c:max val="1300"/>
          <c:min val="7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Bond</a:t>
                </a:r>
                <a:r>
                  <a:rPr lang="en-US" baseline="0"/>
                  <a:t> Price</a:t>
                </a:r>
                <a:endParaRPr lang="en-US"/>
              </a:p>
            </c:rich>
          </c:tx>
          <c:overlay val="0"/>
        </c:title>
        <c:numFmt formatCode="_(&quot;$&quot;* #,##0_);_(&quot;$&quot;* \(#,##0\);_(&quot;$&quot;* &quot;-&quot;_);_(@_)" sourceLinked="0"/>
        <c:majorTickMark val="out"/>
        <c:minorTickMark val="none"/>
        <c:tickLblPos val="nextTo"/>
        <c:crossAx val="4885749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YTM and Bond Price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Bond Laurel</c:v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'#18'!$C$41:$C$51</c:f>
              <c:numCache>
                <c:formatCode>0%</c:formatCode>
                <c:ptCount val="1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</c:numCache>
            </c:numRef>
          </c:cat>
          <c:val>
            <c:numRef>
              <c:f>'#18'!$D$41:$D$51</c:f>
              <c:numCache>
                <c:formatCode>_("$"* #,##0.00_);_("$"* \(#,##0.00\);_("$"* "-"??_);_(@_)</c:formatCode>
                <c:ptCount val="11"/>
                <c:pt idx="0">
                  <c:v>1174</c:v>
                </c:pt>
                <c:pt idx="1">
                  <c:v>1141.5132257456457</c:v>
                </c:pt>
                <c:pt idx="2">
                  <c:v>1110.1140530170071</c:v>
                </c:pt>
                <c:pt idx="3">
                  <c:v>1079.7606203166542</c:v>
                </c:pt>
                <c:pt idx="4">
                  <c:v>1050.4128780162134</c:v>
                </c:pt>
                <c:pt idx="5">
                  <c:v>1022.0325014463197</c:v>
                </c:pt>
                <c:pt idx="6">
                  <c:v>994.5828085561219</c:v>
                </c:pt>
                <c:pt idx="7">
                  <c:v>968.02868188132936</c:v>
                </c:pt>
                <c:pt idx="8">
                  <c:v>942.33649457578986</c:v>
                </c:pt>
                <c:pt idx="9">
                  <c:v>917.47404027668199</c:v>
                </c:pt>
                <c:pt idx="10">
                  <c:v>893.41046658738378</c:v>
                </c:pt>
              </c:numCache>
            </c:numRef>
          </c:val>
          <c:smooth val="1"/>
        </c:ser>
        <c:ser>
          <c:idx val="1"/>
          <c:order val="1"/>
          <c:tx>
            <c:v>Bond Hardy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'#18'!$D$55:$D$65</c:f>
              <c:numCache>
                <c:formatCode>_("$"* #,##0.00_);_("$"* \(#,##0.00\);_("$"* "-"??_);_(@_)</c:formatCode>
                <c:ptCount val="11"/>
                <c:pt idx="0">
                  <c:v>2160.0000000000009</c:v>
                </c:pt>
                <c:pt idx="1">
                  <c:v>1868.1334687380015</c:v>
                </c:pt>
                <c:pt idx="2">
                  <c:v>1623.8590361651666</c:v>
                </c:pt>
                <c:pt idx="3">
                  <c:v>1418.8218328584492</c:v>
                </c:pt>
                <c:pt idx="4">
                  <c:v>1246.1993131666438</c:v>
                </c:pt>
                <c:pt idx="5">
                  <c:v>1100.4111002083525</c:v>
                </c:pt>
                <c:pt idx="6">
                  <c:v>976.88522802579405</c:v>
                </c:pt>
                <c:pt idx="7">
                  <c:v>871.86956597621656</c:v>
                </c:pt>
                <c:pt idx="8">
                  <c:v>782.27948728230842</c:v>
                </c:pt>
                <c:pt idx="9">
                  <c:v>705.57464927552519</c:v>
                </c:pt>
                <c:pt idx="10">
                  <c:v>639.65918656611666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6535856"/>
        <c:axId val="396536416"/>
      </c:lineChart>
      <c:catAx>
        <c:axId val="396535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Yield to Maturity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396536416"/>
        <c:crosses val="autoZero"/>
        <c:auto val="1"/>
        <c:lblAlgn val="ctr"/>
        <c:lblOffset val="100"/>
        <c:noMultiLvlLbl val="0"/>
      </c:catAx>
      <c:valAx>
        <c:axId val="396536416"/>
        <c:scaling>
          <c:orientation val="minMax"/>
          <c:max val="2500"/>
          <c:min val="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Bond Price</a:t>
                </a:r>
              </a:p>
            </c:rich>
          </c:tx>
          <c:overlay val="0"/>
        </c:title>
        <c:numFmt formatCode="_(&quot;$&quot;* #,##0_);_(&quot;$&quot;* \(#,##0\);_(&quot;$&quot;* &quot;-&quot;_);_(@_)" sourceLinked="0"/>
        <c:majorTickMark val="out"/>
        <c:minorTickMark val="none"/>
        <c:tickLblPos val="nextTo"/>
        <c:crossAx val="396535856"/>
        <c:crossesAt val="1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561975</xdr:colOff>
      <xdr:row>25</xdr:row>
      <xdr:rowOff>176211</xdr:rowOff>
    </xdr:from>
    <xdr:to>
      <xdr:col>18</xdr:col>
      <xdr:colOff>361950</xdr:colOff>
      <xdr:row>51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27</xdr:row>
      <xdr:rowOff>14287</xdr:rowOff>
    </xdr:from>
    <xdr:to>
      <xdr:col>19</xdr:col>
      <xdr:colOff>342900</xdr:colOff>
      <xdr:row>51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4"/>
  <sheetViews>
    <sheetView tabSelected="1" workbookViewId="0">
      <selection activeCell="D21" sqref="D21"/>
    </sheetView>
  </sheetViews>
  <sheetFormatPr defaultRowHeight="12.75" x14ac:dyDescent="0.2"/>
  <cols>
    <col min="1" max="3" width="9.140625" style="75"/>
    <col min="4" max="4" width="42.5703125" style="75" customWidth="1"/>
    <col min="5" max="16384" width="9.140625" style="75"/>
  </cols>
  <sheetData>
    <row r="1" spans="1:29" x14ac:dyDescent="0.2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</row>
    <row r="2" spans="1:29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</row>
    <row r="3" spans="1:29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</row>
    <row r="4" spans="1:29" x14ac:dyDescent="0.2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</row>
    <row r="5" spans="1:29" x14ac:dyDescent="0.2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</row>
    <row r="6" spans="1:29" x14ac:dyDescent="0.2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</row>
    <row r="7" spans="1:29" x14ac:dyDescent="0.2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</row>
    <row r="8" spans="1:29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</row>
    <row r="9" spans="1:29" x14ac:dyDescent="0.2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</row>
    <row r="10" spans="1:29" ht="59.25" x14ac:dyDescent="0.75">
      <c r="A10" s="73"/>
      <c r="B10" s="73"/>
      <c r="C10" s="73"/>
      <c r="D10" s="76" t="s">
        <v>189</v>
      </c>
      <c r="E10" s="73"/>
      <c r="F10" s="77"/>
      <c r="G10" s="73"/>
      <c r="H10" s="73"/>
      <c r="I10" s="73"/>
      <c r="J10" s="73"/>
      <c r="K10" s="73"/>
      <c r="L10" s="73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</row>
    <row r="11" spans="1:29" x14ac:dyDescent="0.2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</row>
    <row r="12" spans="1:29" ht="23.25" x14ac:dyDescent="0.35">
      <c r="A12" s="73"/>
      <c r="B12" s="73"/>
      <c r="C12" s="73"/>
      <c r="D12" s="78" t="s">
        <v>223</v>
      </c>
      <c r="E12" s="73"/>
      <c r="F12" s="73"/>
      <c r="G12" s="73"/>
      <c r="H12" s="73"/>
      <c r="I12" s="73"/>
      <c r="J12" s="73"/>
      <c r="K12" s="73"/>
      <c r="L12" s="73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</row>
    <row r="13" spans="1:29" x14ac:dyDescent="0.2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</row>
    <row r="14" spans="1:29" x14ac:dyDescent="0.2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</row>
    <row r="15" spans="1:29" ht="15" x14ac:dyDescent="0.2">
      <c r="A15" s="73"/>
      <c r="B15" s="73"/>
      <c r="C15" s="73"/>
      <c r="D15" s="79"/>
      <c r="E15" s="73"/>
      <c r="F15" s="73"/>
      <c r="G15" s="73"/>
      <c r="H15" s="73"/>
      <c r="I15" s="73"/>
      <c r="J15" s="73"/>
      <c r="K15" s="73"/>
      <c r="L15" s="73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</row>
    <row r="16" spans="1:29" ht="15.75" x14ac:dyDescent="0.25">
      <c r="A16" s="73"/>
      <c r="B16" s="73"/>
      <c r="C16" s="73"/>
      <c r="D16" s="80" t="s">
        <v>86</v>
      </c>
      <c r="E16" s="73"/>
      <c r="F16" s="73"/>
      <c r="G16" s="73"/>
      <c r="H16" s="73"/>
      <c r="I16" s="73"/>
      <c r="J16" s="73"/>
      <c r="K16" s="73"/>
      <c r="L16" s="73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</row>
    <row r="17" spans="1:29" ht="15.75" x14ac:dyDescent="0.25">
      <c r="A17" s="73"/>
      <c r="B17" s="73"/>
      <c r="C17" s="73"/>
      <c r="D17" s="81" t="s">
        <v>87</v>
      </c>
      <c r="E17" s="73"/>
      <c r="F17" s="73"/>
      <c r="G17" s="73"/>
      <c r="H17" s="73"/>
      <c r="I17" s="73"/>
      <c r="J17" s="73"/>
      <c r="K17" s="73"/>
      <c r="L17" s="73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</row>
    <row r="18" spans="1:29" ht="15.75" x14ac:dyDescent="0.25">
      <c r="A18" s="73"/>
      <c r="B18" s="73"/>
      <c r="C18" s="73"/>
      <c r="D18" s="82" t="s">
        <v>88</v>
      </c>
      <c r="E18" s="73"/>
      <c r="F18" s="73"/>
      <c r="G18" s="73"/>
      <c r="H18" s="73"/>
      <c r="I18" s="73"/>
      <c r="J18" s="73"/>
      <c r="K18" s="73"/>
      <c r="L18" s="73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</row>
    <row r="19" spans="1:29" ht="15.75" x14ac:dyDescent="0.25">
      <c r="A19" s="73"/>
      <c r="B19" s="73"/>
      <c r="C19" s="73"/>
      <c r="D19" s="83" t="s">
        <v>89</v>
      </c>
      <c r="E19" s="73"/>
      <c r="F19" s="73"/>
      <c r="G19" s="73"/>
      <c r="H19" s="73"/>
      <c r="I19" s="73"/>
      <c r="J19" s="73"/>
      <c r="K19" s="73"/>
      <c r="L19" s="73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</row>
    <row r="20" spans="1:29" ht="15.75" x14ac:dyDescent="0.25">
      <c r="A20" s="73"/>
      <c r="B20" s="73"/>
      <c r="C20" s="73"/>
      <c r="D20" s="84" t="s">
        <v>90</v>
      </c>
      <c r="E20" s="73"/>
      <c r="F20" s="73"/>
      <c r="G20" s="73"/>
      <c r="H20" s="73"/>
      <c r="I20" s="73"/>
      <c r="J20" s="73"/>
      <c r="K20" s="73"/>
      <c r="L20" s="73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</row>
    <row r="21" spans="1:29" ht="15" x14ac:dyDescent="0.2">
      <c r="A21" s="73"/>
      <c r="B21" s="73"/>
      <c r="C21" s="73"/>
      <c r="D21" s="79"/>
      <c r="E21" s="73"/>
      <c r="F21" s="73"/>
      <c r="G21" s="73"/>
      <c r="H21" s="73"/>
      <c r="I21" s="73"/>
      <c r="J21" s="73"/>
      <c r="K21" s="73"/>
      <c r="L21" s="73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</row>
    <row r="22" spans="1:29" x14ac:dyDescent="0.2">
      <c r="A22" s="73"/>
      <c r="B22" s="73"/>
      <c r="C22" s="73"/>
      <c r="D22" s="132" t="s">
        <v>153</v>
      </c>
      <c r="E22" s="73"/>
      <c r="F22" s="73"/>
      <c r="G22" s="73"/>
      <c r="H22" s="73"/>
      <c r="I22" s="73"/>
      <c r="J22" s="73"/>
      <c r="K22" s="73"/>
      <c r="L22" s="73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</row>
    <row r="23" spans="1:29" x14ac:dyDescent="0.2">
      <c r="A23" s="73"/>
      <c r="B23" s="73"/>
      <c r="C23" s="73"/>
      <c r="D23" s="132" t="s">
        <v>154</v>
      </c>
      <c r="E23" s="73"/>
      <c r="F23" s="73"/>
      <c r="G23" s="73"/>
      <c r="H23" s="73"/>
      <c r="I23" s="73"/>
      <c r="J23" s="73"/>
      <c r="K23" s="73"/>
      <c r="L23" s="73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</row>
    <row r="24" spans="1:29" x14ac:dyDescent="0.2">
      <c r="A24" s="73"/>
      <c r="B24" s="73"/>
      <c r="C24" s="73"/>
      <c r="D24" s="132" t="s">
        <v>183</v>
      </c>
      <c r="E24" s="73"/>
      <c r="F24" s="73"/>
      <c r="G24" s="73"/>
      <c r="H24" s="73"/>
      <c r="I24" s="73"/>
      <c r="J24" s="73"/>
      <c r="K24" s="73"/>
      <c r="L24" s="73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</row>
    <row r="25" spans="1:29" x14ac:dyDescent="0.2">
      <c r="A25" s="73"/>
      <c r="B25" s="73"/>
      <c r="C25" s="73"/>
      <c r="D25" s="137" t="s">
        <v>184</v>
      </c>
      <c r="E25" s="73"/>
      <c r="F25" s="73"/>
      <c r="G25" s="73"/>
      <c r="H25" s="73"/>
      <c r="I25" s="73"/>
      <c r="J25" s="73"/>
      <c r="K25" s="73"/>
      <c r="L25" s="73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</row>
    <row r="26" spans="1:29" x14ac:dyDescent="0.2">
      <c r="A26" s="73"/>
      <c r="B26" s="73"/>
      <c r="C26" s="73"/>
      <c r="D26" s="138" t="s">
        <v>185</v>
      </c>
      <c r="E26" s="73"/>
      <c r="F26" s="73"/>
      <c r="G26" s="73"/>
      <c r="H26" s="73"/>
      <c r="I26" s="73"/>
      <c r="J26" s="73"/>
      <c r="K26" s="73"/>
      <c r="L26" s="73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</row>
    <row r="27" spans="1:29" x14ac:dyDescent="0.2">
      <c r="A27" s="73"/>
      <c r="B27" s="73"/>
      <c r="C27" s="73"/>
      <c r="D27" s="139" t="s">
        <v>186</v>
      </c>
      <c r="E27" s="73"/>
      <c r="F27" s="73"/>
      <c r="G27" s="73"/>
      <c r="H27" s="73"/>
      <c r="I27" s="73"/>
      <c r="J27" s="73"/>
      <c r="K27" s="73"/>
      <c r="L27" s="73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</row>
    <row r="28" spans="1:29" x14ac:dyDescent="0.2">
      <c r="A28" s="73"/>
      <c r="B28" s="73"/>
      <c r="C28" s="73"/>
      <c r="D28" s="139" t="s">
        <v>187</v>
      </c>
      <c r="E28" s="73"/>
      <c r="F28" s="73"/>
      <c r="G28" s="73"/>
      <c r="H28" s="73"/>
      <c r="I28" s="73"/>
      <c r="J28" s="73"/>
      <c r="K28" s="73"/>
      <c r="L28" s="73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</row>
    <row r="29" spans="1:29" x14ac:dyDescent="0.2">
      <c r="A29" s="73"/>
      <c r="B29" s="73"/>
      <c r="C29" s="73"/>
      <c r="D29" s="140" t="s">
        <v>188</v>
      </c>
      <c r="E29" s="73"/>
      <c r="F29" s="73"/>
      <c r="G29" s="73"/>
      <c r="H29" s="73"/>
      <c r="I29" s="73"/>
      <c r="J29" s="73"/>
      <c r="K29" s="73"/>
      <c r="L29" s="73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</row>
    <row r="30" spans="1:29" x14ac:dyDescent="0.2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</row>
    <row r="31" spans="1:29" x14ac:dyDescent="0.2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</row>
    <row r="32" spans="1:29" x14ac:dyDescent="0.2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</row>
    <row r="33" spans="1:29" x14ac:dyDescent="0.2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</row>
    <row r="34" spans="1:29" x14ac:dyDescent="0.2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</row>
    <row r="35" spans="1:29" x14ac:dyDescent="0.2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</row>
    <row r="36" spans="1:29" x14ac:dyDescent="0.2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</row>
    <row r="37" spans="1:29" x14ac:dyDescent="0.2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</row>
    <row r="38" spans="1:29" x14ac:dyDescent="0.2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</row>
    <row r="39" spans="1:29" x14ac:dyDescent="0.2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</row>
    <row r="40" spans="1:29" x14ac:dyDescent="0.2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</row>
    <row r="41" spans="1:29" x14ac:dyDescent="0.2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</row>
    <row r="42" spans="1:29" x14ac:dyDescent="0.2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</row>
    <row r="43" spans="1:29" x14ac:dyDescent="0.2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</row>
    <row r="44" spans="1:29" x14ac:dyDescent="0.2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</row>
    <row r="45" spans="1:29" x14ac:dyDescent="0.2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</row>
    <row r="46" spans="1:29" x14ac:dyDescent="0.2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</row>
    <row r="47" spans="1:29" x14ac:dyDescent="0.2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</row>
    <row r="48" spans="1:29" x14ac:dyDescent="0.2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</row>
    <row r="49" spans="1:12" x14ac:dyDescent="0.2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</row>
    <row r="50" spans="1:12" x14ac:dyDescent="0.2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</row>
    <row r="51" spans="1:12" x14ac:dyDescent="0.2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</row>
    <row r="52" spans="1:12" x14ac:dyDescent="0.2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</row>
    <row r="53" spans="1:12" x14ac:dyDescent="0.2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</row>
    <row r="54" spans="1:12" x14ac:dyDescent="0.2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</row>
    <row r="55" spans="1:12" x14ac:dyDescent="0.2">
      <c r="A55" s="85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</row>
    <row r="56" spans="1:12" x14ac:dyDescent="0.2">
      <c r="A56" s="85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</row>
    <row r="57" spans="1:12" x14ac:dyDescent="0.2">
      <c r="A57" s="85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</row>
    <row r="58" spans="1:12" x14ac:dyDescent="0.2">
      <c r="A58" s="85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</row>
    <row r="59" spans="1:12" x14ac:dyDescent="0.2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</row>
    <row r="60" spans="1:12" x14ac:dyDescent="0.2">
      <c r="A60" s="85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</row>
    <row r="61" spans="1:12" x14ac:dyDescent="0.2">
      <c r="A61" s="85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</row>
    <row r="62" spans="1:12" x14ac:dyDescent="0.2">
      <c r="A62" s="85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</row>
    <row r="63" spans="1:12" x14ac:dyDescent="0.2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</row>
    <row r="64" spans="1:12" x14ac:dyDescent="0.2">
      <c r="A64" s="8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</row>
    <row r="65" spans="1:12" x14ac:dyDescent="0.2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</row>
    <row r="66" spans="1:12" x14ac:dyDescent="0.2">
      <c r="A66" s="85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</row>
    <row r="67" spans="1:12" x14ac:dyDescent="0.2">
      <c r="A67" s="85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</row>
    <row r="68" spans="1:12" x14ac:dyDescent="0.2">
      <c r="A68" s="85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</row>
    <row r="69" spans="1:12" x14ac:dyDescent="0.2">
      <c r="A69" s="85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</row>
    <row r="70" spans="1:12" x14ac:dyDescent="0.2">
      <c r="A70" s="85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</row>
    <row r="71" spans="1:12" x14ac:dyDescent="0.2">
      <c r="A71" s="85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</row>
    <row r="72" spans="1:12" x14ac:dyDescent="0.2">
      <c r="A72" s="85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</row>
    <row r="73" spans="1:12" x14ac:dyDescent="0.2">
      <c r="A73" s="85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</row>
    <row r="74" spans="1:12" x14ac:dyDescent="0.2">
      <c r="A74" s="85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</row>
    <row r="75" spans="1:12" x14ac:dyDescent="0.2">
      <c r="A75" s="85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</row>
    <row r="76" spans="1:12" x14ac:dyDescent="0.2">
      <c r="A76" s="85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</row>
    <row r="77" spans="1:12" x14ac:dyDescent="0.2">
      <c r="A77" s="85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</row>
    <row r="78" spans="1:12" x14ac:dyDescent="0.2">
      <c r="A78" s="85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</row>
    <row r="79" spans="1:12" x14ac:dyDescent="0.2">
      <c r="A79" s="85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</row>
    <row r="80" spans="1:12" x14ac:dyDescent="0.2">
      <c r="A80" s="85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</row>
    <row r="81" spans="1:12" x14ac:dyDescent="0.2">
      <c r="A81" s="85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</row>
    <row r="82" spans="1:12" x14ac:dyDescent="0.2">
      <c r="A82" s="85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</row>
    <row r="83" spans="1:12" x14ac:dyDescent="0.2">
      <c r="A83" s="85"/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</row>
    <row r="84" spans="1:12" x14ac:dyDescent="0.2">
      <c r="A84" s="85"/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</row>
    <row r="85" spans="1:12" x14ac:dyDescent="0.2">
      <c r="A85" s="85"/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</row>
    <row r="86" spans="1:12" x14ac:dyDescent="0.2">
      <c r="A86" s="85"/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</row>
    <row r="87" spans="1:12" x14ac:dyDescent="0.2">
      <c r="A87" s="85"/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</row>
    <row r="88" spans="1:12" x14ac:dyDescent="0.2">
      <c r="A88" s="85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</row>
    <row r="89" spans="1:12" x14ac:dyDescent="0.2">
      <c r="A89" s="85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</row>
    <row r="90" spans="1:12" x14ac:dyDescent="0.2">
      <c r="A90" s="85"/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</row>
    <row r="91" spans="1:12" x14ac:dyDescent="0.2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</row>
    <row r="92" spans="1:12" x14ac:dyDescent="0.2">
      <c r="A92" s="85"/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</row>
    <row r="93" spans="1:12" x14ac:dyDescent="0.2">
      <c r="A93" s="85"/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</row>
    <row r="94" spans="1:12" x14ac:dyDescent="0.2">
      <c r="A94" s="85"/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</row>
    <row r="95" spans="1:12" x14ac:dyDescent="0.2">
      <c r="A95" s="85"/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</row>
    <row r="96" spans="1:12" x14ac:dyDescent="0.2">
      <c r="A96" s="85"/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</row>
    <row r="97" spans="1:12" x14ac:dyDescent="0.2">
      <c r="A97" s="85"/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</row>
    <row r="98" spans="1:12" x14ac:dyDescent="0.2">
      <c r="A98" s="85"/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</row>
    <row r="99" spans="1:12" x14ac:dyDescent="0.2">
      <c r="A99" s="85"/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</row>
    <row r="100" spans="1:12" x14ac:dyDescent="0.2">
      <c r="A100" s="85"/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</row>
    <row r="101" spans="1:12" x14ac:dyDescent="0.2">
      <c r="A101" s="85"/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</row>
    <row r="102" spans="1:12" x14ac:dyDescent="0.2">
      <c r="A102" s="85"/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</row>
    <row r="103" spans="1:12" x14ac:dyDescent="0.2">
      <c r="A103" s="85"/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</row>
    <row r="104" spans="1:12" x14ac:dyDescent="0.2">
      <c r="A104" s="85"/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workbookViewId="0">
      <selection activeCell="C2" sqref="C2"/>
    </sheetView>
  </sheetViews>
  <sheetFormatPr defaultRowHeight="12.75" x14ac:dyDescent="0.2"/>
  <cols>
    <col min="1" max="1" width="9.140625" style="181"/>
    <col min="2" max="2" width="3.140625" style="181" customWidth="1"/>
    <col min="3" max="3" width="22.7109375" style="181" customWidth="1"/>
    <col min="4" max="4" width="17.140625" style="181" customWidth="1"/>
    <col min="5" max="5" width="3.140625" style="181" customWidth="1"/>
    <col min="6" max="8" width="9.140625" style="181" customWidth="1"/>
    <col min="9" max="16384" width="9.140625" style="181"/>
  </cols>
  <sheetData>
    <row r="1" spans="2:7" ht="18" x14ac:dyDescent="0.25">
      <c r="C1" s="210" t="s">
        <v>189</v>
      </c>
    </row>
    <row r="2" spans="2:7" ht="15" x14ac:dyDescent="0.2">
      <c r="C2" s="182" t="s">
        <v>20</v>
      </c>
    </row>
    <row r="4" spans="2:7" ht="15" x14ac:dyDescent="0.2">
      <c r="C4" s="197" t="s">
        <v>1</v>
      </c>
      <c r="D4" s="182"/>
      <c r="E4" s="182"/>
      <c r="F4" s="182"/>
      <c r="G4" s="182"/>
    </row>
    <row r="5" spans="2:7" s="182" customFormat="1" ht="15.75" thickBot="1" x14ac:dyDescent="0.25">
      <c r="C5" s="196"/>
      <c r="D5" s="209"/>
    </row>
    <row r="6" spans="2:7" s="182" customFormat="1" ht="15" x14ac:dyDescent="0.2">
      <c r="B6" s="208"/>
      <c r="C6" s="207"/>
      <c r="D6" s="206"/>
      <c r="E6" s="205"/>
    </row>
    <row r="7" spans="2:7" s="182" customFormat="1" ht="15" x14ac:dyDescent="0.2">
      <c r="B7" s="203"/>
      <c r="C7" s="202" t="s">
        <v>8</v>
      </c>
      <c r="D7" s="86">
        <v>36526</v>
      </c>
      <c r="E7" s="201"/>
    </row>
    <row r="8" spans="2:7" s="182" customFormat="1" ht="15" x14ac:dyDescent="0.2">
      <c r="B8" s="203"/>
      <c r="C8" s="202" t="s">
        <v>9</v>
      </c>
      <c r="D8" s="87">
        <v>40909</v>
      </c>
      <c r="E8" s="201"/>
    </row>
    <row r="9" spans="2:7" s="182" customFormat="1" ht="15" x14ac:dyDescent="0.2">
      <c r="B9" s="203"/>
      <c r="C9" s="202" t="s">
        <v>5</v>
      </c>
      <c r="D9" s="92">
        <v>2.9000000000000001E-2</v>
      </c>
      <c r="E9" s="201"/>
    </row>
    <row r="10" spans="2:7" s="182" customFormat="1" ht="15" x14ac:dyDescent="0.2">
      <c r="B10" s="203"/>
      <c r="C10" s="202" t="s">
        <v>11</v>
      </c>
      <c r="D10" s="89">
        <v>2</v>
      </c>
      <c r="E10" s="201"/>
    </row>
    <row r="11" spans="2:7" s="182" customFormat="1" ht="15" x14ac:dyDescent="0.2">
      <c r="B11" s="203"/>
      <c r="C11" s="202" t="s">
        <v>15</v>
      </c>
      <c r="D11" s="104">
        <v>100</v>
      </c>
      <c r="E11" s="201"/>
    </row>
    <row r="12" spans="2:7" s="182" customFormat="1" ht="15" x14ac:dyDescent="0.2">
      <c r="B12" s="203"/>
      <c r="C12" s="202" t="s">
        <v>6</v>
      </c>
      <c r="D12" s="92">
        <v>3.4000000000000002E-2</v>
      </c>
      <c r="E12" s="201"/>
    </row>
    <row r="13" spans="2:7" s="182" customFormat="1" ht="15" x14ac:dyDescent="0.2">
      <c r="B13" s="203"/>
      <c r="C13" s="202" t="s">
        <v>85</v>
      </c>
      <c r="D13" s="90">
        <v>5000</v>
      </c>
      <c r="E13" s="201"/>
    </row>
    <row r="14" spans="2:7" s="182" customFormat="1" ht="15" customHeight="1" thickBot="1" x14ac:dyDescent="0.25">
      <c r="B14" s="200"/>
      <c r="C14" s="199"/>
      <c r="D14" s="199"/>
      <c r="E14" s="198"/>
    </row>
    <row r="15" spans="2:7" s="182" customFormat="1" ht="15" x14ac:dyDescent="0.2"/>
    <row r="16" spans="2:7" s="182" customFormat="1" ht="15" x14ac:dyDescent="0.2">
      <c r="C16" s="197" t="s">
        <v>2</v>
      </c>
    </row>
    <row r="17" spans="2:5" s="182" customFormat="1" ht="15.75" thickBot="1" x14ac:dyDescent="0.25">
      <c r="C17" s="196"/>
    </row>
    <row r="18" spans="2:5" s="182" customFormat="1" ht="15" x14ac:dyDescent="0.2">
      <c r="B18" s="195"/>
      <c r="C18" s="194"/>
      <c r="D18" s="194"/>
      <c r="E18" s="193"/>
    </row>
    <row r="19" spans="2:5" s="182" customFormat="1" ht="15.75" x14ac:dyDescent="0.25">
      <c r="B19" s="189"/>
      <c r="C19" s="188" t="s">
        <v>91</v>
      </c>
      <c r="D19" s="29">
        <f>PRICE(D7,D8,D9,D12,D11,D10)/100*D13</f>
        <v>4755.3405384893049</v>
      </c>
      <c r="E19" s="186"/>
    </row>
    <row r="20" spans="2:5" s="182" customFormat="1" ht="15" customHeight="1" thickBot="1" x14ac:dyDescent="0.25">
      <c r="B20" s="185"/>
      <c r="C20" s="184"/>
      <c r="D20" s="184"/>
      <c r="E20" s="183"/>
    </row>
    <row r="21" spans="2:5" s="182" customFormat="1" ht="15" x14ac:dyDescent="0.2"/>
  </sheetData>
  <pageMargins left="0.75" right="0.75" top="1" bottom="1" header="0.5" footer="0.5"/>
  <pageSetup orientation="portrait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21"/>
  <dimension ref="B1:G1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.28515625" customWidth="1"/>
    <col min="4" max="4" width="12.85546875" customWidth="1"/>
    <col min="5" max="5" width="3.140625" customWidth="1"/>
    <col min="6" max="8" width="9.140625" customWidth="1"/>
  </cols>
  <sheetData>
    <row r="1" spans="2:7" ht="18" x14ac:dyDescent="0.25">
      <c r="C1" s="1" t="s">
        <v>189</v>
      </c>
    </row>
    <row r="2" spans="2:7" ht="15" x14ac:dyDescent="0.2">
      <c r="C2" s="2" t="s">
        <v>24</v>
      </c>
    </row>
    <row r="4" spans="2:7" ht="15" x14ac:dyDescent="0.2">
      <c r="C4" s="3" t="s">
        <v>1</v>
      </c>
      <c r="D4" s="2"/>
      <c r="E4" s="2"/>
      <c r="F4" s="2"/>
      <c r="G4" s="2"/>
    </row>
    <row r="5" spans="2:7" s="2" customFormat="1" ht="15.75" thickBot="1" x14ac:dyDescent="0.25">
      <c r="C5" s="4"/>
      <c r="D5" s="5"/>
    </row>
    <row r="6" spans="2:7" s="2" customFormat="1" ht="15" x14ac:dyDescent="0.2">
      <c r="B6" s="21"/>
      <c r="C6" s="6"/>
      <c r="D6" s="7"/>
      <c r="E6" s="8"/>
    </row>
    <row r="7" spans="2:7" s="2" customFormat="1" ht="15" x14ac:dyDescent="0.2">
      <c r="B7" s="22"/>
      <c r="C7" s="9" t="s">
        <v>21</v>
      </c>
      <c r="D7" s="92">
        <v>4.1500000000000002E-2</v>
      </c>
      <c r="E7" s="10"/>
    </row>
    <row r="8" spans="2:7" s="2" customFormat="1" ht="15" x14ac:dyDescent="0.2">
      <c r="B8" s="22"/>
      <c r="C8" s="9" t="s">
        <v>22</v>
      </c>
      <c r="D8" s="92">
        <v>2.7E-2</v>
      </c>
      <c r="E8" s="10"/>
    </row>
    <row r="9" spans="2:7" s="2" customFormat="1" ht="15" customHeight="1" thickBot="1" x14ac:dyDescent="0.25">
      <c r="B9" s="23"/>
      <c r="C9" s="11"/>
      <c r="D9" s="11"/>
      <c r="E9" s="12"/>
    </row>
    <row r="10" spans="2:7" s="2" customFormat="1" ht="15" x14ac:dyDescent="0.2"/>
    <row r="11" spans="2:7" s="2" customFormat="1" ht="15" x14ac:dyDescent="0.2">
      <c r="C11" s="3" t="s">
        <v>2</v>
      </c>
    </row>
    <row r="12" spans="2:7" s="2" customFormat="1" ht="15.75" thickBot="1" x14ac:dyDescent="0.25">
      <c r="C12" s="4"/>
    </row>
    <row r="13" spans="2:7" s="2" customFormat="1" ht="15" x14ac:dyDescent="0.2">
      <c r="B13" s="24"/>
      <c r="C13" s="13"/>
      <c r="D13" s="13"/>
      <c r="E13" s="25"/>
    </row>
    <row r="14" spans="2:7" s="2" customFormat="1" ht="15.75" x14ac:dyDescent="0.25">
      <c r="B14" s="19"/>
      <c r="C14" s="14" t="s">
        <v>92</v>
      </c>
      <c r="D14" s="31">
        <f>D7-D8</f>
        <v>1.4500000000000002E-2</v>
      </c>
      <c r="E14" s="20"/>
    </row>
    <row r="15" spans="2:7" s="2" customFormat="1" ht="15.75" x14ac:dyDescent="0.25">
      <c r="B15" s="19"/>
      <c r="C15" s="16"/>
      <c r="D15" s="32"/>
      <c r="E15" s="20"/>
    </row>
    <row r="16" spans="2:7" s="2" customFormat="1" ht="15.75" x14ac:dyDescent="0.25">
      <c r="B16" s="19"/>
      <c r="C16" s="16" t="s">
        <v>93</v>
      </c>
      <c r="D16" s="31">
        <f>(D7+1)/(1+D8)-1</f>
        <v>1.4118792599805419E-2</v>
      </c>
      <c r="E16" s="20"/>
    </row>
    <row r="17" spans="2:5" s="2" customFormat="1" ht="15" customHeight="1" thickBot="1" x14ac:dyDescent="0.25">
      <c r="B17" s="26"/>
      <c r="C17" s="27"/>
      <c r="D17" s="27"/>
      <c r="E17" s="28"/>
    </row>
    <row r="18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211"/>
  <dimension ref="B1:E1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7109375" customWidth="1"/>
    <col min="4" max="4" width="12.85546875" customWidth="1"/>
    <col min="5" max="5" width="3.140625" customWidth="1"/>
  </cols>
  <sheetData>
    <row r="1" spans="2:5" ht="18" x14ac:dyDescent="0.25">
      <c r="C1" s="1" t="s">
        <v>189</v>
      </c>
    </row>
    <row r="2" spans="2:5" ht="15" x14ac:dyDescent="0.2">
      <c r="C2" s="2" t="s">
        <v>25</v>
      </c>
    </row>
    <row r="4" spans="2:5" ht="15" x14ac:dyDescent="0.2">
      <c r="C4" s="3" t="s">
        <v>1</v>
      </c>
      <c r="D4" s="2"/>
      <c r="E4" s="2"/>
    </row>
    <row r="5" spans="2:5" s="2" customFormat="1" ht="15.75" thickBot="1" x14ac:dyDescent="0.25">
      <c r="C5" s="4"/>
      <c r="D5" s="5"/>
    </row>
    <row r="6" spans="2:5" s="2" customFormat="1" ht="15" x14ac:dyDescent="0.2">
      <c r="B6" s="21"/>
      <c r="C6" s="6"/>
      <c r="D6" s="7"/>
      <c r="E6" s="8"/>
    </row>
    <row r="7" spans="2:5" s="2" customFormat="1" ht="15" x14ac:dyDescent="0.2">
      <c r="B7" s="22"/>
      <c r="C7" s="9" t="s">
        <v>23</v>
      </c>
      <c r="D7" s="92">
        <v>2.2499999999999999E-2</v>
      </c>
      <c r="E7" s="10"/>
    </row>
    <row r="8" spans="2:5" s="2" customFormat="1" ht="15" x14ac:dyDescent="0.2">
      <c r="B8" s="22"/>
      <c r="C8" s="9" t="s">
        <v>22</v>
      </c>
      <c r="D8" s="92">
        <v>3.2000000000000001E-2</v>
      </c>
      <c r="E8" s="10"/>
    </row>
    <row r="9" spans="2:5" s="2" customFormat="1" ht="15" customHeight="1" thickBot="1" x14ac:dyDescent="0.25">
      <c r="B9" s="23"/>
      <c r="C9" s="11"/>
      <c r="D9" s="11"/>
      <c r="E9" s="12"/>
    </row>
    <row r="10" spans="2:5" s="2" customFormat="1" ht="15" x14ac:dyDescent="0.2"/>
    <row r="11" spans="2:5" s="2" customFormat="1" ht="15" x14ac:dyDescent="0.2">
      <c r="C11" s="3" t="s">
        <v>2</v>
      </c>
    </row>
    <row r="12" spans="2:5" s="2" customFormat="1" ht="15.75" thickBot="1" x14ac:dyDescent="0.25">
      <c r="C12" s="4"/>
    </row>
    <row r="13" spans="2:5" s="2" customFormat="1" ht="15" x14ac:dyDescent="0.2">
      <c r="B13" s="24"/>
      <c r="C13" s="13"/>
      <c r="D13" s="13"/>
      <c r="E13" s="25"/>
    </row>
    <row r="14" spans="2:5" s="2" customFormat="1" ht="15.75" x14ac:dyDescent="0.25">
      <c r="B14" s="19"/>
      <c r="C14" s="14" t="s">
        <v>155</v>
      </c>
      <c r="D14" s="31">
        <f>(1+D7)*(1+D8)-1</f>
        <v>5.5220000000000047E-2</v>
      </c>
      <c r="E14" s="30"/>
    </row>
    <row r="15" spans="2:5" s="2" customFormat="1" ht="15" customHeight="1" thickBot="1" x14ac:dyDescent="0.25">
      <c r="B15" s="26"/>
      <c r="C15" s="27"/>
      <c r="D15" s="27"/>
      <c r="E15" s="28"/>
    </row>
    <row r="16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2111"/>
  <dimension ref="B1:E1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7109375" customWidth="1"/>
    <col min="4" max="4" width="12.85546875" customWidth="1"/>
    <col min="5" max="5" width="3.140625" customWidth="1"/>
  </cols>
  <sheetData>
    <row r="1" spans="2:5" ht="18" x14ac:dyDescent="0.25">
      <c r="C1" s="1" t="s">
        <v>189</v>
      </c>
    </row>
    <row r="2" spans="2:5" ht="15" x14ac:dyDescent="0.2">
      <c r="C2" s="2" t="s">
        <v>28</v>
      </c>
    </row>
    <row r="4" spans="2:5" ht="15" x14ac:dyDescent="0.2">
      <c r="C4" s="3" t="s">
        <v>1</v>
      </c>
      <c r="D4" s="2"/>
      <c r="E4" s="2"/>
    </row>
    <row r="5" spans="2:5" s="2" customFormat="1" ht="15.75" thickBot="1" x14ac:dyDescent="0.25">
      <c r="C5" s="4"/>
      <c r="D5" s="5"/>
    </row>
    <row r="6" spans="2:5" s="2" customFormat="1" ht="15" x14ac:dyDescent="0.2">
      <c r="B6" s="21"/>
      <c r="C6" s="6"/>
      <c r="D6" s="7"/>
      <c r="E6" s="8"/>
    </row>
    <row r="7" spans="2:5" s="2" customFormat="1" ht="15" x14ac:dyDescent="0.2">
      <c r="B7" s="22"/>
      <c r="C7" s="9" t="s">
        <v>26</v>
      </c>
      <c r="D7" s="88">
        <v>0.12</v>
      </c>
      <c r="E7" s="10"/>
    </row>
    <row r="8" spans="2:5" s="2" customFormat="1" ht="15" x14ac:dyDescent="0.2">
      <c r="B8" s="22"/>
      <c r="C8" s="9" t="s">
        <v>27</v>
      </c>
      <c r="D8" s="91">
        <v>7.0000000000000007E-2</v>
      </c>
      <c r="E8" s="10"/>
    </row>
    <row r="9" spans="2:5" s="2" customFormat="1" ht="15" customHeight="1" thickBot="1" x14ac:dyDescent="0.25">
      <c r="B9" s="23"/>
      <c r="C9" s="11"/>
      <c r="D9" s="11"/>
      <c r="E9" s="12"/>
    </row>
    <row r="10" spans="2:5" s="2" customFormat="1" ht="15" x14ac:dyDescent="0.2"/>
    <row r="11" spans="2:5" s="2" customFormat="1" ht="15" x14ac:dyDescent="0.2">
      <c r="C11" s="3" t="s">
        <v>2</v>
      </c>
    </row>
    <row r="12" spans="2:5" s="2" customFormat="1" ht="15.75" thickBot="1" x14ac:dyDescent="0.25">
      <c r="C12" s="4"/>
    </row>
    <row r="13" spans="2:5" s="2" customFormat="1" ht="15" x14ac:dyDescent="0.2">
      <c r="B13" s="24"/>
      <c r="C13" s="13"/>
      <c r="D13" s="13"/>
      <c r="E13" s="25"/>
    </row>
    <row r="14" spans="2:5" s="2" customFormat="1" ht="15.75" x14ac:dyDescent="0.25">
      <c r="B14" s="19"/>
      <c r="C14" s="14" t="s">
        <v>22</v>
      </c>
      <c r="D14" s="31">
        <f>(D7+1)/(1+D8)-1</f>
        <v>4.6728971962616939E-2</v>
      </c>
      <c r="E14" s="30"/>
    </row>
    <row r="15" spans="2:5" s="2" customFormat="1" ht="15" customHeight="1" thickBot="1" x14ac:dyDescent="0.25">
      <c r="B15" s="26"/>
      <c r="C15" s="27"/>
      <c r="D15" s="27"/>
      <c r="E15" s="28"/>
    </row>
    <row r="16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21111"/>
  <dimension ref="B1:E1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7109375" customWidth="1"/>
    <col min="4" max="4" width="12.85546875" customWidth="1"/>
    <col min="5" max="5" width="3.140625" customWidth="1"/>
  </cols>
  <sheetData>
    <row r="1" spans="2:5" ht="18" x14ac:dyDescent="0.25">
      <c r="C1" s="1" t="s">
        <v>189</v>
      </c>
    </row>
    <row r="2" spans="2:5" ht="15" x14ac:dyDescent="0.2">
      <c r="C2" s="2" t="s">
        <v>30</v>
      </c>
    </row>
    <row r="4" spans="2:5" ht="15" x14ac:dyDescent="0.2">
      <c r="C4" s="3" t="s">
        <v>1</v>
      </c>
      <c r="D4" s="2"/>
      <c r="E4" s="2"/>
    </row>
    <row r="5" spans="2:5" s="2" customFormat="1" ht="15.75" thickBot="1" x14ac:dyDescent="0.25">
      <c r="C5" s="4"/>
      <c r="D5" s="5"/>
    </row>
    <row r="6" spans="2:5" s="2" customFormat="1" ht="15" x14ac:dyDescent="0.2">
      <c r="B6" s="21"/>
      <c r="C6" s="6"/>
      <c r="D6" s="7"/>
      <c r="E6" s="8"/>
    </row>
    <row r="7" spans="2:5" s="2" customFormat="1" ht="15" x14ac:dyDescent="0.2">
      <c r="B7" s="22"/>
      <c r="C7" s="9" t="s">
        <v>29</v>
      </c>
      <c r="D7" s="92">
        <v>0.1208</v>
      </c>
      <c r="E7" s="10"/>
    </row>
    <row r="8" spans="2:5" s="2" customFormat="1" ht="15" x14ac:dyDescent="0.2">
      <c r="B8" s="22"/>
      <c r="C8" s="9" t="s">
        <v>22</v>
      </c>
      <c r="D8" s="92">
        <v>4.5999999999999999E-2</v>
      </c>
      <c r="E8" s="10"/>
    </row>
    <row r="9" spans="2:5" s="2" customFormat="1" ht="15" customHeight="1" thickBot="1" x14ac:dyDescent="0.25">
      <c r="B9" s="23"/>
      <c r="C9" s="11"/>
      <c r="D9" s="11"/>
      <c r="E9" s="12"/>
    </row>
    <row r="10" spans="2:5" s="2" customFormat="1" ht="15" x14ac:dyDescent="0.2"/>
    <row r="11" spans="2:5" s="2" customFormat="1" ht="15" x14ac:dyDescent="0.2">
      <c r="C11" s="3" t="s">
        <v>2</v>
      </c>
    </row>
    <row r="12" spans="2:5" s="2" customFormat="1" ht="15.75" thickBot="1" x14ac:dyDescent="0.25">
      <c r="C12" s="4"/>
    </row>
    <row r="13" spans="2:5" s="2" customFormat="1" ht="15" x14ac:dyDescent="0.2">
      <c r="B13" s="24"/>
      <c r="C13" s="13"/>
      <c r="D13" s="13"/>
      <c r="E13" s="25"/>
    </row>
    <row r="14" spans="2:5" s="2" customFormat="1" ht="15.75" x14ac:dyDescent="0.25">
      <c r="B14" s="19"/>
      <c r="C14" s="14" t="s">
        <v>27</v>
      </c>
      <c r="D14" s="31">
        <f>(D7+1)/(1+D8)-1</f>
        <v>7.1510516252390133E-2</v>
      </c>
      <c r="E14" s="30"/>
    </row>
    <row r="15" spans="2:5" s="2" customFormat="1" ht="15" customHeight="1" thickBot="1" x14ac:dyDescent="0.25">
      <c r="B15" s="26"/>
      <c r="C15" s="27"/>
      <c r="D15" s="27"/>
      <c r="E15" s="28"/>
    </row>
    <row r="16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1"/>
  <sheetViews>
    <sheetView workbookViewId="0">
      <selection activeCell="C2" sqref="C2"/>
    </sheetView>
  </sheetViews>
  <sheetFormatPr defaultRowHeight="12.75" x14ac:dyDescent="0.2"/>
  <cols>
    <col min="1" max="1" width="9.140625" style="181"/>
    <col min="2" max="2" width="3.140625" style="181" customWidth="1"/>
    <col min="3" max="3" width="22.7109375" style="181" customWidth="1"/>
    <col min="4" max="4" width="17.42578125" style="181" customWidth="1"/>
    <col min="5" max="5" width="3.140625" style="181" customWidth="1"/>
    <col min="6" max="16384" width="9.140625" style="181"/>
  </cols>
  <sheetData>
    <row r="1" spans="2:5" ht="18" x14ac:dyDescent="0.25">
      <c r="C1" s="210" t="s">
        <v>189</v>
      </c>
    </row>
    <row r="2" spans="2:5" ht="15" x14ac:dyDescent="0.2">
      <c r="C2" s="182" t="s">
        <v>34</v>
      </c>
    </row>
    <row r="4" spans="2:5" ht="15" x14ac:dyDescent="0.2">
      <c r="C4" s="197" t="s">
        <v>1</v>
      </c>
      <c r="D4" s="182"/>
      <c r="E4" s="182"/>
    </row>
    <row r="5" spans="2:5" s="182" customFormat="1" ht="15.75" thickBot="1" x14ac:dyDescent="0.25">
      <c r="C5" s="196"/>
      <c r="D5" s="209"/>
    </row>
    <row r="6" spans="2:5" s="182" customFormat="1" ht="15" x14ac:dyDescent="0.2">
      <c r="B6" s="208"/>
      <c r="C6" s="207"/>
      <c r="D6" s="206"/>
      <c r="E6" s="205"/>
    </row>
    <row r="7" spans="2:5" s="182" customFormat="1" ht="15" x14ac:dyDescent="0.2">
      <c r="B7" s="203"/>
      <c r="C7" s="202" t="s">
        <v>31</v>
      </c>
      <c r="D7" s="216">
        <v>129.1953</v>
      </c>
      <c r="E7" s="201"/>
    </row>
    <row r="8" spans="2:5" s="182" customFormat="1" ht="15" x14ac:dyDescent="0.2">
      <c r="B8" s="203"/>
      <c r="C8" s="202" t="s">
        <v>32</v>
      </c>
      <c r="D8" s="216">
        <v>-0.1484</v>
      </c>
      <c r="E8" s="201"/>
    </row>
    <row r="9" spans="2:5" s="182" customFormat="1" ht="15" x14ac:dyDescent="0.2">
      <c r="B9" s="203"/>
      <c r="C9" s="202" t="s">
        <v>5</v>
      </c>
      <c r="D9" s="96">
        <v>5.2499999999999998E-2</v>
      </c>
      <c r="E9" s="201"/>
    </row>
    <row r="10" spans="2:5" s="182" customFormat="1" ht="15" x14ac:dyDescent="0.2">
      <c r="B10" s="203"/>
      <c r="C10" s="202" t="s">
        <v>33</v>
      </c>
      <c r="D10" s="216">
        <v>129.1328</v>
      </c>
      <c r="E10" s="201"/>
    </row>
    <row r="11" spans="2:5" s="182" customFormat="1" ht="15" x14ac:dyDescent="0.2">
      <c r="B11" s="203"/>
      <c r="C11" s="202" t="s">
        <v>228</v>
      </c>
      <c r="D11" s="217">
        <v>10000</v>
      </c>
      <c r="E11" s="201"/>
    </row>
    <row r="12" spans="2:5" s="182" customFormat="1" ht="15" customHeight="1" thickBot="1" x14ac:dyDescent="0.25">
      <c r="B12" s="200"/>
      <c r="C12" s="199"/>
      <c r="D12" s="199"/>
      <c r="E12" s="198"/>
    </row>
    <row r="13" spans="2:5" s="182" customFormat="1" ht="15" x14ac:dyDescent="0.2"/>
    <row r="14" spans="2:5" s="182" customFormat="1" ht="15" x14ac:dyDescent="0.2">
      <c r="C14" s="197" t="s">
        <v>2</v>
      </c>
    </row>
    <row r="15" spans="2:5" s="182" customFormat="1" ht="15.75" thickBot="1" x14ac:dyDescent="0.25">
      <c r="C15" s="196"/>
    </row>
    <row r="16" spans="2:5" s="182" customFormat="1" ht="15" x14ac:dyDescent="0.2">
      <c r="B16" s="195"/>
      <c r="C16" s="194"/>
      <c r="D16" s="194"/>
      <c r="E16" s="193"/>
    </row>
    <row r="17" spans="2:5" s="182" customFormat="1" ht="15.75" x14ac:dyDescent="0.25">
      <c r="B17" s="189"/>
      <c r="C17" s="188" t="s">
        <v>229</v>
      </c>
      <c r="D17" s="41">
        <f>D10/100*D11</f>
        <v>12913.28</v>
      </c>
      <c r="E17" s="186"/>
    </row>
    <row r="18" spans="2:5" s="182" customFormat="1" ht="15.75" x14ac:dyDescent="0.25">
      <c r="B18" s="189"/>
      <c r="C18" s="218" t="s">
        <v>156</v>
      </c>
      <c r="D18" s="41">
        <f>(D7-D8)/100*D11</f>
        <v>12934.37</v>
      </c>
      <c r="E18" s="30"/>
    </row>
    <row r="19" spans="2:5" s="182" customFormat="1" ht="15" customHeight="1" thickBot="1" x14ac:dyDescent="0.25">
      <c r="B19" s="185"/>
      <c r="C19" s="184"/>
      <c r="D19" s="184"/>
      <c r="E19" s="183"/>
    </row>
    <row r="20" spans="2:5" s="182" customFormat="1" ht="15" x14ac:dyDescent="0.2"/>
    <row r="21" spans="2:5" ht="15" customHeight="1" x14ac:dyDescent="0.2"/>
  </sheetData>
  <pageMargins left="0.75" right="0.75" top="1" bottom="1" header="0.5" footer="0.5"/>
  <pageSetup orientation="portrait" horizont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workbookViewId="0">
      <selection activeCell="D23" sqref="D23"/>
    </sheetView>
  </sheetViews>
  <sheetFormatPr defaultRowHeight="12.75" x14ac:dyDescent="0.2"/>
  <cols>
    <col min="1" max="1" width="9.140625" style="181"/>
    <col min="2" max="2" width="3.140625" style="181" customWidth="1"/>
    <col min="3" max="3" width="22.7109375" style="181" customWidth="1"/>
    <col min="4" max="4" width="17.42578125" style="181" customWidth="1"/>
    <col min="5" max="5" width="3.140625" style="181" customWidth="1"/>
    <col min="6" max="16384" width="9.140625" style="181"/>
  </cols>
  <sheetData>
    <row r="1" spans="2:5" ht="18" x14ac:dyDescent="0.25">
      <c r="C1" s="210" t="s">
        <v>189</v>
      </c>
    </row>
    <row r="2" spans="2:5" ht="15" x14ac:dyDescent="0.2">
      <c r="C2" s="182" t="s">
        <v>36</v>
      </c>
    </row>
    <row r="4" spans="2:5" ht="15" x14ac:dyDescent="0.2">
      <c r="C4" s="197" t="s">
        <v>1</v>
      </c>
      <c r="D4" s="182"/>
      <c r="E4" s="182"/>
    </row>
    <row r="5" spans="2:5" s="182" customFormat="1" ht="15.75" thickBot="1" x14ac:dyDescent="0.25">
      <c r="C5" s="196"/>
      <c r="D5" s="209"/>
    </row>
    <row r="6" spans="2:5" s="182" customFormat="1" ht="15" x14ac:dyDescent="0.2">
      <c r="B6" s="208"/>
      <c r="C6" s="207"/>
      <c r="D6" s="206"/>
      <c r="E6" s="205"/>
    </row>
    <row r="7" spans="2:5" s="182" customFormat="1" ht="15" x14ac:dyDescent="0.2">
      <c r="B7" s="203"/>
      <c r="C7" s="202" t="s">
        <v>31</v>
      </c>
      <c r="D7" s="216">
        <v>128.46879999999999</v>
      </c>
      <c r="E7" s="201"/>
    </row>
    <row r="8" spans="2:5" s="182" customFormat="1" ht="15" x14ac:dyDescent="0.2">
      <c r="B8" s="203"/>
      <c r="C8" s="202" t="s">
        <v>5</v>
      </c>
      <c r="D8" s="96">
        <v>4.3749999999999997E-2</v>
      </c>
      <c r="E8" s="201"/>
    </row>
    <row r="9" spans="2:5" s="182" customFormat="1" ht="15" x14ac:dyDescent="0.2">
      <c r="B9" s="203"/>
      <c r="C9" s="202" t="s">
        <v>33</v>
      </c>
      <c r="D9" s="216">
        <v>128.40629999999999</v>
      </c>
      <c r="E9" s="201"/>
    </row>
    <row r="10" spans="2:5" s="182" customFormat="1" ht="15" x14ac:dyDescent="0.2">
      <c r="B10" s="203"/>
      <c r="C10" s="202" t="s">
        <v>35</v>
      </c>
      <c r="D10" s="96">
        <v>2.665E-2</v>
      </c>
      <c r="E10" s="201"/>
    </row>
    <row r="11" spans="2:5" s="182" customFormat="1" ht="15" x14ac:dyDescent="0.2">
      <c r="B11" s="203"/>
      <c r="C11" s="202" t="s">
        <v>228</v>
      </c>
      <c r="D11" s="204">
        <v>10000</v>
      </c>
      <c r="E11" s="201"/>
    </row>
    <row r="12" spans="2:5" s="182" customFormat="1" ht="15" customHeight="1" thickBot="1" x14ac:dyDescent="0.25">
      <c r="B12" s="200"/>
      <c r="C12" s="199"/>
      <c r="D12" s="199"/>
      <c r="E12" s="198"/>
    </row>
    <row r="13" spans="2:5" s="182" customFormat="1" ht="15" x14ac:dyDescent="0.2"/>
    <row r="14" spans="2:5" s="182" customFormat="1" ht="15" x14ac:dyDescent="0.2">
      <c r="C14" s="197" t="s">
        <v>2</v>
      </c>
    </row>
    <row r="15" spans="2:5" s="182" customFormat="1" ht="15.75" thickBot="1" x14ac:dyDescent="0.25">
      <c r="C15" s="196"/>
    </row>
    <row r="16" spans="2:5" s="182" customFormat="1" ht="15" x14ac:dyDescent="0.2">
      <c r="B16" s="195"/>
      <c r="C16" s="194"/>
      <c r="D16" s="194"/>
      <c r="E16" s="193"/>
    </row>
    <row r="17" spans="2:5" s="182" customFormat="1" ht="15" x14ac:dyDescent="0.2">
      <c r="B17" s="189"/>
      <c r="C17" s="188" t="s">
        <v>94</v>
      </c>
      <c r="D17" s="219" t="str">
        <f>IF(D7&gt;100,"premium","discount")</f>
        <v>premium</v>
      </c>
      <c r="E17" s="186"/>
    </row>
    <row r="18" spans="2:5" s="182" customFormat="1" ht="15" x14ac:dyDescent="0.2">
      <c r="B18" s="189"/>
      <c r="C18" s="188"/>
      <c r="D18" s="188"/>
      <c r="E18" s="186"/>
    </row>
    <row r="19" spans="2:5" s="182" customFormat="1" ht="15.75" x14ac:dyDescent="0.25">
      <c r="B19" s="189"/>
      <c r="C19" s="218" t="s">
        <v>47</v>
      </c>
      <c r="D19" s="220">
        <f>(D8*D11)/(D7/100*D11)</f>
        <v>3.4054961204588195E-2</v>
      </c>
      <c r="E19" s="30"/>
    </row>
    <row r="20" spans="2:5" s="182" customFormat="1" ht="15.75" x14ac:dyDescent="0.25">
      <c r="B20" s="189"/>
      <c r="C20" s="218"/>
      <c r="D20" s="33"/>
      <c r="E20" s="30"/>
    </row>
    <row r="21" spans="2:5" s="182" customFormat="1" ht="15.75" x14ac:dyDescent="0.25">
      <c r="B21" s="189"/>
      <c r="C21" s="218" t="s">
        <v>157</v>
      </c>
      <c r="D21" s="220">
        <f>D10</f>
        <v>2.665E-2</v>
      </c>
      <c r="E21" s="30"/>
    </row>
    <row r="22" spans="2:5" s="182" customFormat="1" ht="15.75" x14ac:dyDescent="0.25">
      <c r="B22" s="189"/>
      <c r="C22" s="218"/>
      <c r="D22" s="33"/>
      <c r="E22" s="30"/>
    </row>
    <row r="23" spans="2:5" s="182" customFormat="1" ht="15.75" x14ac:dyDescent="0.25">
      <c r="B23" s="189"/>
      <c r="C23" s="218" t="s">
        <v>158</v>
      </c>
      <c r="D23" s="221">
        <f>(D7-D9)/100*D11</f>
        <v>6.25</v>
      </c>
      <c r="E23" s="30"/>
    </row>
    <row r="24" spans="2:5" s="182" customFormat="1" ht="15" customHeight="1" thickBot="1" x14ac:dyDescent="0.25">
      <c r="B24" s="185"/>
      <c r="C24" s="184"/>
      <c r="D24" s="184"/>
      <c r="E24" s="183"/>
    </row>
    <row r="25" spans="2:5" s="182" customFormat="1" ht="15" x14ac:dyDescent="0.2"/>
  </sheetData>
  <pageMargins left="0.75" right="0.75" top="1" bottom="1" header="0.5" footer="0.5"/>
  <pageSetup orientation="portrait" horizont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workbookViewId="0">
      <selection activeCell="C2" sqref="C2"/>
    </sheetView>
  </sheetViews>
  <sheetFormatPr defaultRowHeight="12.75" x14ac:dyDescent="0.2"/>
  <cols>
    <col min="1" max="1" width="9.140625" style="181"/>
    <col min="2" max="2" width="3.140625" style="181" customWidth="1"/>
    <col min="3" max="3" width="39.7109375" style="181" bestFit="1" customWidth="1"/>
    <col min="4" max="4" width="17.28515625" style="181" bestFit="1" customWidth="1"/>
    <col min="5" max="5" width="3.140625" style="181" customWidth="1"/>
    <col min="6" max="16384" width="9.140625" style="181"/>
  </cols>
  <sheetData>
    <row r="1" spans="2:5" s="182" customFormat="1" ht="18" x14ac:dyDescent="0.25">
      <c r="C1" s="210" t="s">
        <v>189</v>
      </c>
    </row>
    <row r="2" spans="2:5" s="182" customFormat="1" ht="15" x14ac:dyDescent="0.2">
      <c r="C2" s="182" t="s">
        <v>38</v>
      </c>
    </row>
    <row r="3" spans="2:5" s="182" customFormat="1" ht="15" x14ac:dyDescent="0.2"/>
    <row r="4" spans="2:5" s="182" customFormat="1" ht="15" x14ac:dyDescent="0.2">
      <c r="C4" s="197" t="s">
        <v>1</v>
      </c>
    </row>
    <row r="5" spans="2:5" s="182" customFormat="1" ht="15.75" thickBot="1" x14ac:dyDescent="0.25">
      <c r="C5" s="196"/>
      <c r="D5" s="209"/>
    </row>
    <row r="6" spans="2:5" s="182" customFormat="1" ht="15" x14ac:dyDescent="0.2">
      <c r="B6" s="208"/>
      <c r="C6" s="207"/>
      <c r="D6" s="206"/>
      <c r="E6" s="205"/>
    </row>
    <row r="7" spans="2:5" s="182" customFormat="1" ht="15" x14ac:dyDescent="0.2">
      <c r="B7" s="203"/>
      <c r="C7" s="202" t="s">
        <v>85</v>
      </c>
      <c r="D7" s="204">
        <v>1000</v>
      </c>
      <c r="E7" s="201"/>
    </row>
    <row r="8" spans="2:5" s="182" customFormat="1" ht="15" x14ac:dyDescent="0.2">
      <c r="B8" s="203"/>
      <c r="C8" s="202" t="s">
        <v>222</v>
      </c>
      <c r="D8" s="95">
        <v>5.7000000000000002E-2</v>
      </c>
      <c r="E8" s="201"/>
    </row>
    <row r="9" spans="2:5" s="182" customFormat="1" ht="15" x14ac:dyDescent="0.2">
      <c r="B9" s="203"/>
      <c r="C9" s="202" t="s">
        <v>54</v>
      </c>
      <c r="D9" s="100">
        <v>20</v>
      </c>
      <c r="E9" s="201"/>
    </row>
    <row r="10" spans="2:5" s="182" customFormat="1" ht="15" customHeight="1" thickBot="1" x14ac:dyDescent="0.25">
      <c r="B10" s="200"/>
      <c r="C10" s="199"/>
      <c r="D10" s="199"/>
      <c r="E10" s="198"/>
    </row>
    <row r="11" spans="2:5" s="182" customFormat="1" ht="15" x14ac:dyDescent="0.2"/>
    <row r="12" spans="2:5" s="182" customFormat="1" ht="15" x14ac:dyDescent="0.2">
      <c r="C12" s="197" t="s">
        <v>2</v>
      </c>
    </row>
    <row r="13" spans="2:5" s="182" customFormat="1" ht="15.75" thickBot="1" x14ac:dyDescent="0.25">
      <c r="C13" s="196"/>
    </row>
    <row r="14" spans="2:5" s="182" customFormat="1" ht="15" x14ac:dyDescent="0.2">
      <c r="B14" s="195"/>
      <c r="C14" s="194"/>
      <c r="D14" s="194"/>
      <c r="E14" s="193"/>
    </row>
    <row r="15" spans="2:5" s="182" customFormat="1" ht="15" x14ac:dyDescent="0.2">
      <c r="B15" s="189"/>
      <c r="C15" s="188" t="s">
        <v>221</v>
      </c>
      <c r="D15" s="192">
        <f>PV(D8/2,D9*2,,-D7)</f>
        <v>324.95869259595929</v>
      </c>
      <c r="E15" s="186"/>
    </row>
    <row r="16" spans="2:5" s="182" customFormat="1" ht="15" x14ac:dyDescent="0.2">
      <c r="B16" s="189"/>
      <c r="C16" s="188" t="s">
        <v>220</v>
      </c>
      <c r="D16" s="191">
        <f>PV(D8/2,(D9-1)*2,,-D7)</f>
        <v>343.74528577199004</v>
      </c>
      <c r="E16" s="186"/>
    </row>
    <row r="17" spans="2:5" s="182" customFormat="1" ht="15" x14ac:dyDescent="0.2">
      <c r="B17" s="189"/>
      <c r="C17" s="188"/>
      <c r="D17" s="190"/>
      <c r="E17" s="186"/>
    </row>
    <row r="18" spans="2:5" s="182" customFormat="1" ht="15.75" x14ac:dyDescent="0.25">
      <c r="B18" s="189"/>
      <c r="C18" s="188" t="s">
        <v>243</v>
      </c>
      <c r="D18" s="187">
        <f>D16-D15</f>
        <v>18.786593176030749</v>
      </c>
      <c r="E18" s="186"/>
    </row>
    <row r="19" spans="2:5" s="182" customFormat="1" ht="15" customHeight="1" thickBot="1" x14ac:dyDescent="0.25">
      <c r="B19" s="185"/>
      <c r="C19" s="184"/>
      <c r="D19" s="184"/>
      <c r="E19" s="183"/>
    </row>
    <row r="20" spans="2:5" s="182" customFormat="1" ht="15" x14ac:dyDescent="0.2"/>
  </sheetData>
  <pageMargins left="0.75" right="0.75" top="1" bottom="1" header="0.5" footer="0.5"/>
  <pageSetup orientation="portrait" horizont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0"/>
  <sheetViews>
    <sheetView workbookViewId="0">
      <selection activeCell="C2" sqref="C2"/>
    </sheetView>
  </sheetViews>
  <sheetFormatPr defaultRowHeight="12.75" x14ac:dyDescent="0.2"/>
  <cols>
    <col min="1" max="1" width="9.140625" style="222"/>
    <col min="2" max="2" width="3.140625" style="222" customWidth="1"/>
    <col min="3" max="3" width="23.7109375" style="222" customWidth="1"/>
    <col min="4" max="4" width="17.42578125" style="222" customWidth="1"/>
    <col min="5" max="5" width="3.140625" style="222" customWidth="1"/>
    <col min="6" max="6" width="21.5703125" style="222" customWidth="1"/>
    <col min="7" max="7" width="3.28515625" style="222" customWidth="1"/>
    <col min="8" max="16384" width="9.140625" style="222"/>
  </cols>
  <sheetData>
    <row r="1" spans="2:5" ht="18" x14ac:dyDescent="0.25">
      <c r="C1" s="223" t="s">
        <v>189</v>
      </c>
    </row>
    <row r="2" spans="2:5" ht="15" x14ac:dyDescent="0.2">
      <c r="C2" s="224" t="s">
        <v>42</v>
      </c>
    </row>
    <row r="4" spans="2:5" ht="15" x14ac:dyDescent="0.2">
      <c r="C4" s="225" t="s">
        <v>1</v>
      </c>
      <c r="D4" s="224"/>
      <c r="E4" s="224"/>
    </row>
    <row r="5" spans="2:5" s="224" customFormat="1" ht="15.75" thickBot="1" x14ac:dyDescent="0.25">
      <c r="C5" s="226"/>
      <c r="D5" s="227"/>
    </row>
    <row r="6" spans="2:5" s="224" customFormat="1" ht="15" x14ac:dyDescent="0.2">
      <c r="B6" s="228"/>
      <c r="C6" s="229"/>
      <c r="D6" s="230"/>
      <c r="E6" s="231"/>
    </row>
    <row r="7" spans="2:5" s="224" customFormat="1" ht="15" x14ac:dyDescent="0.2">
      <c r="B7" s="232"/>
      <c r="C7" s="233" t="s">
        <v>245</v>
      </c>
      <c r="D7" s="234"/>
      <c r="E7" s="235"/>
    </row>
    <row r="8" spans="2:5" s="224" customFormat="1" ht="15" x14ac:dyDescent="0.2">
      <c r="B8" s="232"/>
      <c r="C8" s="234" t="s">
        <v>5</v>
      </c>
      <c r="D8" s="95">
        <v>6.5000000000000002E-2</v>
      </c>
      <c r="E8" s="235"/>
    </row>
    <row r="9" spans="2:5" s="224" customFormat="1" ht="15" x14ac:dyDescent="0.2">
      <c r="B9" s="232"/>
      <c r="C9" s="234" t="s">
        <v>6</v>
      </c>
      <c r="D9" s="95">
        <v>5.2999999999999999E-2</v>
      </c>
      <c r="E9" s="235"/>
    </row>
    <row r="10" spans="2:5" s="224" customFormat="1" ht="15" x14ac:dyDescent="0.2">
      <c r="B10" s="232"/>
      <c r="C10" s="234" t="s">
        <v>8</v>
      </c>
      <c r="D10" s="87">
        <v>36526</v>
      </c>
      <c r="E10" s="235"/>
    </row>
    <row r="11" spans="2:5" s="224" customFormat="1" ht="15" x14ac:dyDescent="0.2">
      <c r="B11" s="232"/>
      <c r="C11" s="234" t="s">
        <v>9</v>
      </c>
      <c r="D11" s="87">
        <v>41275</v>
      </c>
      <c r="E11" s="235"/>
    </row>
    <row r="12" spans="2:5" s="224" customFormat="1" ht="15" x14ac:dyDescent="0.2">
      <c r="B12" s="232"/>
      <c r="C12" s="234" t="s">
        <v>9</v>
      </c>
      <c r="D12" s="87">
        <v>40909</v>
      </c>
      <c r="E12" s="235"/>
    </row>
    <row r="13" spans="2:5" s="224" customFormat="1" ht="15" x14ac:dyDescent="0.2">
      <c r="B13" s="232"/>
      <c r="C13" s="234" t="s">
        <v>9</v>
      </c>
      <c r="D13" s="87">
        <v>40179</v>
      </c>
      <c r="E13" s="235"/>
    </row>
    <row r="14" spans="2:5" s="224" customFormat="1" ht="15" x14ac:dyDescent="0.2">
      <c r="B14" s="232"/>
      <c r="C14" s="234" t="s">
        <v>9</v>
      </c>
      <c r="D14" s="87">
        <v>38353</v>
      </c>
      <c r="E14" s="235"/>
    </row>
    <row r="15" spans="2:5" s="224" customFormat="1" ht="15" x14ac:dyDescent="0.2">
      <c r="B15" s="232"/>
      <c r="C15" s="234" t="s">
        <v>9</v>
      </c>
      <c r="D15" s="87">
        <v>36892</v>
      </c>
      <c r="E15" s="235"/>
    </row>
    <row r="16" spans="2:5" s="224" customFormat="1" ht="15" x14ac:dyDescent="0.2">
      <c r="B16" s="232"/>
      <c r="C16" s="234" t="s">
        <v>9</v>
      </c>
      <c r="D16" s="87">
        <v>36526</v>
      </c>
      <c r="E16" s="235"/>
    </row>
    <row r="17" spans="2:7" s="224" customFormat="1" ht="15" x14ac:dyDescent="0.2">
      <c r="B17" s="232"/>
      <c r="C17" s="234"/>
      <c r="D17" s="87"/>
      <c r="E17" s="235"/>
    </row>
    <row r="18" spans="2:7" s="224" customFormat="1" ht="15" x14ac:dyDescent="0.2">
      <c r="B18" s="232"/>
      <c r="C18" s="234" t="s">
        <v>230</v>
      </c>
      <c r="D18" s="93">
        <v>100</v>
      </c>
      <c r="E18" s="235"/>
    </row>
    <row r="19" spans="2:7" s="224" customFormat="1" ht="15" x14ac:dyDescent="0.2">
      <c r="B19" s="232"/>
      <c r="C19" s="234" t="s">
        <v>37</v>
      </c>
      <c r="D19" s="93">
        <v>2</v>
      </c>
      <c r="E19" s="235"/>
    </row>
    <row r="20" spans="2:7" s="224" customFormat="1" ht="15" x14ac:dyDescent="0.2">
      <c r="B20" s="232"/>
      <c r="C20" s="234"/>
      <c r="D20" s="92"/>
      <c r="E20" s="235"/>
    </row>
    <row r="21" spans="2:7" s="224" customFormat="1" ht="15" x14ac:dyDescent="0.2">
      <c r="B21" s="232"/>
      <c r="C21" s="233" t="s">
        <v>244</v>
      </c>
      <c r="D21" s="92"/>
      <c r="E21" s="235"/>
    </row>
    <row r="22" spans="2:7" s="224" customFormat="1" ht="15" x14ac:dyDescent="0.2">
      <c r="B22" s="232"/>
      <c r="C22" s="234" t="s">
        <v>5</v>
      </c>
      <c r="D22" s="261">
        <f>D9</f>
        <v>5.2999999999999999E-2</v>
      </c>
      <c r="E22" s="235"/>
    </row>
    <row r="23" spans="2:7" s="224" customFormat="1" ht="15" x14ac:dyDescent="0.2">
      <c r="B23" s="232"/>
      <c r="C23" s="234" t="s">
        <v>6</v>
      </c>
      <c r="D23" s="261">
        <f>D8</f>
        <v>6.5000000000000002E-2</v>
      </c>
      <c r="E23" s="235"/>
    </row>
    <row r="24" spans="2:7" s="224" customFormat="1" ht="15" customHeight="1" thickBot="1" x14ac:dyDescent="0.25">
      <c r="B24" s="236"/>
      <c r="C24" s="237"/>
      <c r="D24" s="35"/>
      <c r="E24" s="238"/>
    </row>
    <row r="25" spans="2:7" s="224" customFormat="1" ht="15" x14ac:dyDescent="0.2"/>
    <row r="26" spans="2:7" s="224" customFormat="1" ht="15" x14ac:dyDescent="0.2">
      <c r="C26" s="225" t="s">
        <v>2</v>
      </c>
    </row>
    <row r="27" spans="2:7" s="224" customFormat="1" ht="15.75" thickBot="1" x14ac:dyDescent="0.25">
      <c r="C27" s="226"/>
    </row>
    <row r="28" spans="2:7" s="224" customFormat="1" ht="15" x14ac:dyDescent="0.2">
      <c r="B28" s="239"/>
      <c r="C28" s="240"/>
      <c r="D28" s="240"/>
      <c r="E28" s="240"/>
      <c r="F28" s="240"/>
      <c r="G28" s="241"/>
    </row>
    <row r="29" spans="2:7" s="224" customFormat="1" ht="15" x14ac:dyDescent="0.2">
      <c r="B29" s="242"/>
      <c r="C29" s="243" t="s">
        <v>246</v>
      </c>
      <c r="D29" s="244"/>
      <c r="E29" s="244"/>
      <c r="F29" s="244"/>
      <c r="G29" s="245"/>
    </row>
    <row r="30" spans="2:7" s="224" customFormat="1" ht="15" x14ac:dyDescent="0.2">
      <c r="B30" s="242"/>
      <c r="C30" s="246" t="s">
        <v>231</v>
      </c>
      <c r="D30" s="244"/>
      <c r="E30" s="244"/>
      <c r="F30" s="244"/>
      <c r="G30" s="245"/>
    </row>
    <row r="31" spans="2:7" s="224" customFormat="1" ht="15.75" x14ac:dyDescent="0.25">
      <c r="B31" s="242"/>
      <c r="C31" s="247">
        <f t="shared" ref="C31:C36" si="0">(D11-$D$10)/365</f>
        <v>13.010958904109589</v>
      </c>
      <c r="D31" s="248">
        <f>10*PRICE($D$10,D11,$D$8,$D$9,$D$18,$D$19)</f>
        <v>1111.7126745243797</v>
      </c>
      <c r="E31" s="244"/>
      <c r="F31" s="244"/>
      <c r="G31" s="245"/>
    </row>
    <row r="32" spans="2:7" s="224" customFormat="1" ht="15.75" x14ac:dyDescent="0.25">
      <c r="B32" s="242"/>
      <c r="C32" s="247">
        <f t="shared" si="0"/>
        <v>12.008219178082191</v>
      </c>
      <c r="D32" s="248">
        <f>10*PRICE($D$10,D12,$D$8,$D$9,$D$18,$D$19)</f>
        <v>1105.5528964998564</v>
      </c>
      <c r="E32" s="244"/>
      <c r="F32" s="244"/>
      <c r="G32" s="245"/>
    </row>
    <row r="33" spans="2:7" s="224" customFormat="1" ht="15.75" x14ac:dyDescent="0.25">
      <c r="B33" s="242"/>
      <c r="C33" s="247">
        <f t="shared" si="0"/>
        <v>10.008219178082191</v>
      </c>
      <c r="D33" s="248">
        <f>10*PRICE($D$10,D13,$D$8,$D$9,$D$18,$D$19)</f>
        <v>1092.2231942537246</v>
      </c>
      <c r="E33" s="244"/>
      <c r="F33" s="244"/>
      <c r="G33" s="245"/>
    </row>
    <row r="34" spans="2:7" s="224" customFormat="1" ht="15.75" x14ac:dyDescent="0.25">
      <c r="B34" s="242"/>
      <c r="C34" s="247">
        <f t="shared" si="0"/>
        <v>5.0054794520547947</v>
      </c>
      <c r="D34" s="248">
        <f>10*PRICE($D$10,D14,$D$8,$D$9,$D$18,$D$19)</f>
        <v>1052.1076885372245</v>
      </c>
      <c r="E34" s="244"/>
      <c r="F34" s="244"/>
      <c r="G34" s="245"/>
    </row>
    <row r="35" spans="2:7" s="224" customFormat="1" ht="15.75" x14ac:dyDescent="0.25">
      <c r="B35" s="242"/>
      <c r="C35" s="247">
        <f t="shared" si="0"/>
        <v>1.0027397260273974</v>
      </c>
      <c r="D35" s="248">
        <f>10*PRICE($D$10,D15,$D$8,$D$9,$D$18,$D$19)</f>
        <v>1011.5393129320927</v>
      </c>
      <c r="E35" s="244"/>
      <c r="F35" s="244"/>
      <c r="G35" s="245"/>
    </row>
    <row r="36" spans="2:7" s="224" customFormat="1" ht="15.75" x14ac:dyDescent="0.25">
      <c r="B36" s="242"/>
      <c r="C36" s="247">
        <f t="shared" si="0"/>
        <v>0</v>
      </c>
      <c r="D36" s="248">
        <f>IF(C36&gt;0,10*PRICE($D$10,D16,$D$8,$D$9,$D$18,$D$19),D18*10)</f>
        <v>1000</v>
      </c>
      <c r="E36" s="244"/>
      <c r="F36" s="244"/>
      <c r="G36" s="245"/>
    </row>
    <row r="37" spans="2:7" s="224" customFormat="1" ht="15" x14ac:dyDescent="0.2">
      <c r="B37" s="242"/>
      <c r="C37" s="244"/>
      <c r="D37" s="244"/>
      <c r="E37" s="244"/>
      <c r="F37" s="244"/>
      <c r="G37" s="245"/>
    </row>
    <row r="38" spans="2:7" s="224" customFormat="1" ht="15" x14ac:dyDescent="0.2">
      <c r="B38" s="242"/>
      <c r="C38" s="249" t="s">
        <v>247</v>
      </c>
      <c r="D38" s="244"/>
      <c r="E38" s="250"/>
      <c r="F38" s="244"/>
      <c r="G38" s="245"/>
    </row>
    <row r="39" spans="2:7" s="224" customFormat="1" ht="15.75" x14ac:dyDescent="0.25">
      <c r="B39" s="242"/>
      <c r="C39" s="246" t="s">
        <v>231</v>
      </c>
      <c r="D39" s="251"/>
      <c r="E39" s="250"/>
      <c r="F39" s="244"/>
      <c r="G39" s="245"/>
    </row>
    <row r="40" spans="2:7" s="224" customFormat="1" ht="15.75" x14ac:dyDescent="0.25">
      <c r="B40" s="242"/>
      <c r="C40" s="247">
        <f t="shared" ref="C40:C45" si="1">(D11-$D$10)/365</f>
        <v>13.010958904109589</v>
      </c>
      <c r="D40" s="248">
        <f>10*PRICE($D$10,D11,$D$22,$D$23,$D$18,$D$19)</f>
        <v>895.76060272822315</v>
      </c>
      <c r="E40" s="250"/>
      <c r="F40" s="244"/>
      <c r="G40" s="245"/>
    </row>
    <row r="41" spans="2:7" s="224" customFormat="1" ht="15.75" x14ac:dyDescent="0.25">
      <c r="B41" s="242"/>
      <c r="C41" s="247">
        <f t="shared" si="1"/>
        <v>12.008219178082191</v>
      </c>
      <c r="D41" s="248">
        <f>10*PRICE($D$10,D12,$D$22,$D$23,$D$18,$D$19)</f>
        <v>901.06993904218939</v>
      </c>
      <c r="E41" s="250"/>
      <c r="F41" s="244"/>
      <c r="G41" s="245"/>
    </row>
    <row r="42" spans="2:7" s="224" customFormat="1" ht="15.75" x14ac:dyDescent="0.25">
      <c r="B42" s="242"/>
      <c r="C42" s="247">
        <f t="shared" si="1"/>
        <v>10.008219178082191</v>
      </c>
      <c r="D42" s="248">
        <f>10*PRICE($D$10,D13,$D$22,$D$23,$D$18,$D$19)</f>
        <v>912.76392311839481</v>
      </c>
      <c r="E42" s="250"/>
      <c r="F42" s="244"/>
      <c r="G42" s="245"/>
    </row>
    <row r="43" spans="2:7" s="224" customFormat="1" ht="15.75" x14ac:dyDescent="0.25">
      <c r="B43" s="242"/>
      <c r="C43" s="247">
        <f t="shared" si="1"/>
        <v>5.0054794520547947</v>
      </c>
      <c r="D43" s="248">
        <f>10*PRICE($D$10,D14,$D$22,$D$23,$D$18,$D$19)</f>
        <v>949.46562951730903</v>
      </c>
      <c r="E43" s="250"/>
      <c r="F43" s="244"/>
      <c r="G43" s="245"/>
    </row>
    <row r="44" spans="2:7" s="224" customFormat="1" ht="15.75" x14ac:dyDescent="0.25">
      <c r="B44" s="242"/>
      <c r="C44" s="247">
        <f t="shared" si="1"/>
        <v>1.0027397260273974</v>
      </c>
      <c r="D44" s="248">
        <f>10*PRICE($D$10,D15,$D$22,$D$23,$D$18,$D$19)</f>
        <v>988.56064114815706</v>
      </c>
      <c r="E44" s="250"/>
      <c r="F44" s="244"/>
      <c r="G44" s="245"/>
    </row>
    <row r="45" spans="2:7" s="224" customFormat="1" ht="15.75" x14ac:dyDescent="0.25">
      <c r="B45" s="242"/>
      <c r="C45" s="247">
        <f t="shared" si="1"/>
        <v>0</v>
      </c>
      <c r="D45" s="248">
        <f>IF(C45&gt;0,10*PRICE($D$10,D16,$D$22,$D$23,$D$18,$D$19),10*D18)</f>
        <v>1000</v>
      </c>
      <c r="E45" s="250"/>
      <c r="F45" s="244"/>
      <c r="G45" s="245"/>
    </row>
    <row r="46" spans="2:7" s="224" customFormat="1" ht="15.75" x14ac:dyDescent="0.25">
      <c r="B46" s="242"/>
      <c r="C46" s="247"/>
      <c r="D46" s="251"/>
      <c r="E46" s="250"/>
      <c r="F46" s="244"/>
      <c r="G46" s="245"/>
    </row>
    <row r="47" spans="2:7" s="224" customFormat="1" ht="15.75" customHeight="1" x14ac:dyDescent="0.2">
      <c r="B47" s="242"/>
      <c r="C47" s="278" t="s">
        <v>234</v>
      </c>
      <c r="D47" s="278"/>
      <c r="E47" s="278"/>
      <c r="F47" s="278"/>
      <c r="G47" s="245"/>
    </row>
    <row r="48" spans="2:7" s="224" customFormat="1" ht="15.75" customHeight="1" x14ac:dyDescent="0.2">
      <c r="B48" s="242"/>
      <c r="C48" s="278"/>
      <c r="D48" s="278"/>
      <c r="E48" s="278"/>
      <c r="F48" s="278"/>
      <c r="G48" s="245"/>
    </row>
    <row r="49" spans="2:7" s="224" customFormat="1" ht="15.75" customHeight="1" x14ac:dyDescent="0.2">
      <c r="B49" s="242"/>
      <c r="C49" s="278"/>
      <c r="D49" s="278"/>
      <c r="E49" s="278"/>
      <c r="F49" s="278"/>
      <c r="G49" s="245"/>
    </row>
    <row r="50" spans="2:7" s="224" customFormat="1" ht="15.75" customHeight="1" x14ac:dyDescent="0.2">
      <c r="B50" s="242"/>
      <c r="C50" s="278"/>
      <c r="D50" s="278"/>
      <c r="E50" s="278"/>
      <c r="F50" s="278"/>
      <c r="G50" s="245"/>
    </row>
    <row r="51" spans="2:7" s="224" customFormat="1" ht="15.75" customHeight="1" x14ac:dyDescent="0.2">
      <c r="B51" s="242"/>
      <c r="C51" s="278"/>
      <c r="D51" s="278"/>
      <c r="E51" s="278"/>
      <c r="F51" s="278"/>
      <c r="G51" s="245"/>
    </row>
    <row r="52" spans="2:7" s="224" customFormat="1" ht="15.75" x14ac:dyDescent="0.25">
      <c r="B52" s="242"/>
      <c r="C52" s="252"/>
      <c r="D52" s="253"/>
      <c r="E52" s="250"/>
      <c r="F52" s="244"/>
      <c r="G52" s="245"/>
    </row>
    <row r="53" spans="2:7" s="224" customFormat="1" ht="15.75" x14ac:dyDescent="0.25">
      <c r="B53" s="242"/>
      <c r="C53" s="243" t="s">
        <v>233</v>
      </c>
      <c r="D53" s="253"/>
      <c r="E53" s="250"/>
      <c r="F53" s="244"/>
      <c r="G53" s="245"/>
    </row>
    <row r="54" spans="2:7" s="224" customFormat="1" ht="15" x14ac:dyDescent="0.2">
      <c r="B54" s="242"/>
      <c r="C54" s="246" t="s">
        <v>96</v>
      </c>
      <c r="D54" s="246" t="s">
        <v>231</v>
      </c>
      <c r="E54" s="246"/>
      <c r="F54" s="244"/>
      <c r="G54" s="254"/>
    </row>
    <row r="55" spans="2:7" s="224" customFormat="1" ht="15" x14ac:dyDescent="0.2">
      <c r="B55" s="242"/>
      <c r="C55" s="255">
        <v>41275</v>
      </c>
      <c r="D55" s="247">
        <f>ROUND((C55-$D$10)/365,0)</f>
        <v>13</v>
      </c>
      <c r="E55" s="247"/>
      <c r="F55" s="256">
        <f>PRICE($D$10,C55,$D$8,$D$9,$D$18,$D$19)*10</f>
        <v>1111.7126745243797</v>
      </c>
      <c r="G55" s="254"/>
    </row>
    <row r="56" spans="2:7" s="224" customFormat="1" ht="15" x14ac:dyDescent="0.2">
      <c r="B56" s="242"/>
      <c r="C56" s="255">
        <v>40909</v>
      </c>
      <c r="D56" s="247">
        <f t="shared" ref="D56:D68" si="2">ROUND((C56-$D$10)/365,0)</f>
        <v>12</v>
      </c>
      <c r="E56" s="247"/>
      <c r="F56" s="256">
        <f t="shared" ref="F56:F67" si="3">PRICE($D$10,C56,$D$8,$D$9,$D$18,$D$19)*10</f>
        <v>1105.5528964998564</v>
      </c>
      <c r="G56" s="254"/>
    </row>
    <row r="57" spans="2:7" s="224" customFormat="1" ht="15" x14ac:dyDescent="0.2">
      <c r="B57" s="242"/>
      <c r="C57" s="255">
        <v>40544</v>
      </c>
      <c r="D57" s="247">
        <f t="shared" si="2"/>
        <v>11</v>
      </c>
      <c r="E57" s="247"/>
      <c r="F57" s="256">
        <f t="shared" si="3"/>
        <v>1099.0623245359156</v>
      </c>
      <c r="G57" s="254"/>
    </row>
    <row r="58" spans="2:7" s="224" customFormat="1" ht="15" x14ac:dyDescent="0.2">
      <c r="B58" s="242"/>
      <c r="C58" s="255">
        <v>40179</v>
      </c>
      <c r="D58" s="247">
        <f t="shared" si="2"/>
        <v>10</v>
      </c>
      <c r="E58" s="247"/>
      <c r="F58" s="256">
        <f t="shared" si="3"/>
        <v>1092.2231942537246</v>
      </c>
      <c r="G58" s="254"/>
    </row>
    <row r="59" spans="2:7" s="224" customFormat="1" ht="15" x14ac:dyDescent="0.2">
      <c r="B59" s="242"/>
      <c r="C59" s="255">
        <v>39814</v>
      </c>
      <c r="D59" s="247">
        <f t="shared" si="2"/>
        <v>9</v>
      </c>
      <c r="E59" s="247"/>
      <c r="F59" s="256">
        <f t="shared" si="3"/>
        <v>1085.0167872873365</v>
      </c>
      <c r="G59" s="254"/>
    </row>
    <row r="60" spans="2:7" s="224" customFormat="1" ht="15" x14ac:dyDescent="0.2">
      <c r="B60" s="242"/>
      <c r="C60" s="255">
        <v>39448</v>
      </c>
      <c r="D60" s="247">
        <f t="shared" si="2"/>
        <v>8</v>
      </c>
      <c r="E60" s="247"/>
      <c r="F60" s="256">
        <f t="shared" si="3"/>
        <v>1077.4233800524376</v>
      </c>
      <c r="G60" s="254"/>
    </row>
    <row r="61" spans="2:7" s="224" customFormat="1" ht="15" x14ac:dyDescent="0.2">
      <c r="B61" s="242"/>
      <c r="C61" s="255">
        <v>39083</v>
      </c>
      <c r="D61" s="247">
        <f t="shared" si="2"/>
        <v>7</v>
      </c>
      <c r="E61" s="250"/>
      <c r="F61" s="256">
        <f t="shared" si="3"/>
        <v>1069.4221897638588</v>
      </c>
      <c r="G61" s="245"/>
    </row>
    <row r="62" spans="2:7" s="224" customFormat="1" ht="15" x14ac:dyDescent="0.2">
      <c r="B62" s="242"/>
      <c r="C62" s="255">
        <v>38718</v>
      </c>
      <c r="D62" s="247">
        <f t="shared" si="2"/>
        <v>6</v>
      </c>
      <c r="E62" s="250"/>
      <c r="F62" s="256">
        <f t="shared" si="3"/>
        <v>1060.9913175541049</v>
      </c>
      <c r="G62" s="245"/>
    </row>
    <row r="63" spans="2:7" s="224" customFormat="1" ht="15" x14ac:dyDescent="0.2">
      <c r="B63" s="242"/>
      <c r="C63" s="255">
        <v>38353</v>
      </c>
      <c r="D63" s="247">
        <f t="shared" si="2"/>
        <v>5</v>
      </c>
      <c r="E63" s="250"/>
      <c r="F63" s="256">
        <f t="shared" si="3"/>
        <v>1052.1076885372245</v>
      </c>
      <c r="G63" s="245"/>
    </row>
    <row r="64" spans="2:7" s="224" customFormat="1" ht="15" x14ac:dyDescent="0.2">
      <c r="B64" s="242"/>
      <c r="C64" s="255">
        <v>37987</v>
      </c>
      <c r="D64" s="247">
        <f t="shared" si="2"/>
        <v>4</v>
      </c>
      <c r="E64" s="250"/>
      <c r="F64" s="256">
        <f t="shared" si="3"/>
        <v>1042.7469886539725</v>
      </c>
      <c r="G64" s="245"/>
    </row>
    <row r="65" spans="2:7" s="224" customFormat="1" ht="15" x14ac:dyDescent="0.2">
      <c r="B65" s="242"/>
      <c r="C65" s="255">
        <v>37622</v>
      </c>
      <c r="D65" s="247">
        <f t="shared" si="2"/>
        <v>3</v>
      </c>
      <c r="E65" s="250"/>
      <c r="F65" s="256">
        <f t="shared" si="3"/>
        <v>1032.8835981254153</v>
      </c>
      <c r="G65" s="245"/>
    </row>
    <row r="66" spans="2:7" s="224" customFormat="1" ht="15" x14ac:dyDescent="0.2">
      <c r="B66" s="242"/>
      <c r="C66" s="255">
        <v>37257</v>
      </c>
      <c r="D66" s="247">
        <f t="shared" si="2"/>
        <v>2</v>
      </c>
      <c r="E66" s="250"/>
      <c r="F66" s="256">
        <f t="shared" si="3"/>
        <v>1022.4905213328458</v>
      </c>
      <c r="G66" s="245"/>
    </row>
    <row r="67" spans="2:7" s="224" customFormat="1" ht="15" x14ac:dyDescent="0.2">
      <c r="B67" s="242"/>
      <c r="C67" s="255">
        <v>36892</v>
      </c>
      <c r="D67" s="247">
        <f t="shared" si="2"/>
        <v>1</v>
      </c>
      <c r="E67" s="250"/>
      <c r="F67" s="256">
        <f t="shared" si="3"/>
        <v>1011.5393129320927</v>
      </c>
      <c r="G67" s="245"/>
    </row>
    <row r="68" spans="2:7" s="224" customFormat="1" ht="15" x14ac:dyDescent="0.2">
      <c r="B68" s="242"/>
      <c r="C68" s="255">
        <v>36526</v>
      </c>
      <c r="D68" s="247">
        <f t="shared" si="2"/>
        <v>0</v>
      </c>
      <c r="E68" s="250"/>
      <c r="F68" s="256">
        <f>IF(C68&gt;D10,PRICE($D$10,C68,$D$8,$D$9,$D$18,$D$19)*10,1000)</f>
        <v>1000</v>
      </c>
      <c r="G68" s="245"/>
    </row>
    <row r="69" spans="2:7" s="224" customFormat="1" ht="15.75" x14ac:dyDescent="0.25">
      <c r="B69" s="242"/>
      <c r="C69" s="255"/>
      <c r="D69" s="253"/>
      <c r="E69" s="250"/>
      <c r="F69" s="244"/>
      <c r="G69" s="245"/>
    </row>
    <row r="70" spans="2:7" s="224" customFormat="1" ht="15.75" x14ac:dyDescent="0.25">
      <c r="B70" s="242"/>
      <c r="C70" s="249" t="s">
        <v>232</v>
      </c>
      <c r="D70" s="253"/>
      <c r="E70" s="250"/>
      <c r="F70" s="244"/>
      <c r="G70" s="245"/>
    </row>
    <row r="71" spans="2:7" s="224" customFormat="1" ht="15" x14ac:dyDescent="0.2">
      <c r="B71" s="242"/>
      <c r="C71" s="246" t="s">
        <v>96</v>
      </c>
      <c r="D71" s="246" t="s">
        <v>231</v>
      </c>
      <c r="E71" s="250"/>
      <c r="F71" s="244"/>
      <c r="G71" s="245"/>
    </row>
    <row r="72" spans="2:7" s="224" customFormat="1" ht="15" x14ac:dyDescent="0.2">
      <c r="B72" s="242"/>
      <c r="C72" s="255">
        <v>41275</v>
      </c>
      <c r="D72" s="247">
        <f>ROUND((C72-$D$10)/365,0)</f>
        <v>13</v>
      </c>
      <c r="E72" s="250"/>
      <c r="F72" s="257">
        <f>PRICE($D$10,C72,$D$22,$D$23,$D$18,$D$19)*10</f>
        <v>895.76060272822315</v>
      </c>
      <c r="G72" s="245"/>
    </row>
    <row r="73" spans="2:7" s="224" customFormat="1" ht="15" x14ac:dyDescent="0.2">
      <c r="B73" s="242"/>
      <c r="C73" s="255">
        <v>40909</v>
      </c>
      <c r="D73" s="247">
        <f t="shared" ref="D73:D85" si="4">ROUND((C73-$D$10)/365,0)</f>
        <v>12</v>
      </c>
      <c r="E73" s="250"/>
      <c r="F73" s="257">
        <f t="shared" ref="F73:F84" si="5">PRICE($D$10,C73,$D$22,$D$23,$D$18,$D$19)*10</f>
        <v>901.06993904218939</v>
      </c>
      <c r="G73" s="245"/>
    </row>
    <row r="74" spans="2:7" s="224" customFormat="1" ht="15" x14ac:dyDescent="0.2">
      <c r="B74" s="242"/>
      <c r="C74" s="255">
        <v>40544</v>
      </c>
      <c r="D74" s="247">
        <f t="shared" si="4"/>
        <v>11</v>
      </c>
      <c r="E74" s="250"/>
      <c r="F74" s="257">
        <f t="shared" si="5"/>
        <v>906.72999020304496</v>
      </c>
      <c r="G74" s="245"/>
    </row>
    <row r="75" spans="2:7" s="224" customFormat="1" ht="15" x14ac:dyDescent="0.2">
      <c r="B75" s="242"/>
      <c r="C75" s="255">
        <v>40179</v>
      </c>
      <c r="D75" s="247">
        <f t="shared" si="4"/>
        <v>10</v>
      </c>
      <c r="E75" s="250"/>
      <c r="F75" s="257">
        <f t="shared" si="5"/>
        <v>912.76392311839481</v>
      </c>
      <c r="G75" s="245"/>
    </row>
    <row r="76" spans="2:7" s="224" customFormat="1" ht="15" x14ac:dyDescent="0.2">
      <c r="B76" s="242"/>
      <c r="C76" s="255">
        <v>39814</v>
      </c>
      <c r="D76" s="247">
        <f t="shared" si="4"/>
        <v>9</v>
      </c>
      <c r="E76" s="250"/>
      <c r="F76" s="257">
        <f t="shared" si="5"/>
        <v>919.19643501488417</v>
      </c>
      <c r="G76" s="245"/>
    </row>
    <row r="77" spans="2:7" s="224" customFormat="1" ht="15" x14ac:dyDescent="0.2">
      <c r="B77" s="242"/>
      <c r="C77" s="255">
        <v>39448</v>
      </c>
      <c r="D77" s="247">
        <f t="shared" si="4"/>
        <v>8</v>
      </c>
      <c r="E77" s="250"/>
      <c r="F77" s="257">
        <f t="shared" si="5"/>
        <v>926.05385452533619</v>
      </c>
      <c r="G77" s="245"/>
    </row>
    <row r="78" spans="2:7" s="224" customFormat="1" ht="15" x14ac:dyDescent="0.2">
      <c r="B78" s="242"/>
      <c r="C78" s="255">
        <v>39083</v>
      </c>
      <c r="D78" s="247">
        <f t="shared" si="4"/>
        <v>7</v>
      </c>
      <c r="E78" s="250"/>
      <c r="F78" s="257">
        <f t="shared" si="5"/>
        <v>933.36424945332556</v>
      </c>
      <c r="G78" s="245"/>
    </row>
    <row r="79" spans="2:7" s="224" customFormat="1" ht="15" x14ac:dyDescent="0.2">
      <c r="B79" s="242"/>
      <c r="C79" s="255">
        <v>38718</v>
      </c>
      <c r="D79" s="247">
        <f t="shared" si="4"/>
        <v>6</v>
      </c>
      <c r="E79" s="250"/>
      <c r="F79" s="257">
        <f t="shared" si="5"/>
        <v>941.15754165627663</v>
      </c>
      <c r="G79" s="245"/>
    </row>
    <row r="80" spans="2:7" s="224" customFormat="1" ht="15" x14ac:dyDescent="0.2">
      <c r="B80" s="242"/>
      <c r="C80" s="255">
        <v>38353</v>
      </c>
      <c r="D80" s="247">
        <f t="shared" si="4"/>
        <v>5</v>
      </c>
      <c r="E80" s="250"/>
      <c r="F80" s="257">
        <f t="shared" si="5"/>
        <v>949.46562951730903</v>
      </c>
      <c r="G80" s="245"/>
    </row>
    <row r="81" spans="2:7" s="224" customFormat="1" ht="15" x14ac:dyDescent="0.2">
      <c r="B81" s="242"/>
      <c r="C81" s="255">
        <v>37987</v>
      </c>
      <c r="D81" s="247">
        <f t="shared" si="4"/>
        <v>4</v>
      </c>
      <c r="E81" s="250"/>
      <c r="F81" s="257">
        <f t="shared" si="5"/>
        <v>958.32251850711168</v>
      </c>
      <c r="G81" s="245"/>
    </row>
    <row r="82" spans="2:7" s="224" customFormat="1" ht="15" x14ac:dyDescent="0.2">
      <c r="B82" s="242"/>
      <c r="C82" s="255">
        <v>37622</v>
      </c>
      <c r="D82" s="247">
        <f t="shared" si="4"/>
        <v>3</v>
      </c>
      <c r="E82" s="250"/>
      <c r="F82" s="257">
        <f t="shared" si="5"/>
        <v>967.76446037024721</v>
      </c>
      <c r="G82" s="245"/>
    </row>
    <row r="83" spans="2:7" s="224" customFormat="1" ht="15" x14ac:dyDescent="0.2">
      <c r="B83" s="242"/>
      <c r="C83" s="255">
        <v>37257</v>
      </c>
      <c r="D83" s="247">
        <f t="shared" si="4"/>
        <v>2</v>
      </c>
      <c r="E83" s="250"/>
      <c r="F83" s="257">
        <f t="shared" si="5"/>
        <v>977.83010150557925</v>
      </c>
      <c r="G83" s="245"/>
    </row>
    <row r="84" spans="2:7" s="224" customFormat="1" ht="15" x14ac:dyDescent="0.2">
      <c r="B84" s="242"/>
      <c r="C84" s="255">
        <v>36892</v>
      </c>
      <c r="D84" s="247">
        <f t="shared" si="4"/>
        <v>1</v>
      </c>
      <c r="E84" s="250"/>
      <c r="F84" s="257">
        <f t="shared" si="5"/>
        <v>988.56064114815706</v>
      </c>
      <c r="G84" s="245"/>
    </row>
    <row r="85" spans="2:7" s="224" customFormat="1" ht="15" x14ac:dyDescent="0.2">
      <c r="B85" s="242"/>
      <c r="C85" s="255">
        <v>36526</v>
      </c>
      <c r="D85" s="247">
        <f t="shared" si="4"/>
        <v>0</v>
      </c>
      <c r="E85" s="250"/>
      <c r="F85" s="257">
        <f>IF(C85&gt;D10,PRICE($D$10,C85,$D$22,$D$23,$D$18,$D$19)*10,1000)</f>
        <v>1000</v>
      </c>
      <c r="G85" s="245"/>
    </row>
    <row r="86" spans="2:7" s="224" customFormat="1" ht="15" customHeight="1" thickBot="1" x14ac:dyDescent="0.25">
      <c r="B86" s="258"/>
      <c r="C86" s="259"/>
      <c r="D86" s="259"/>
      <c r="E86" s="259"/>
      <c r="F86" s="259"/>
      <c r="G86" s="260"/>
    </row>
    <row r="87" spans="2:7" s="224" customFormat="1" ht="15" x14ac:dyDescent="0.2"/>
    <row r="107" spans="3:3" x14ac:dyDescent="0.2">
      <c r="C107" s="222">
        <v>13</v>
      </c>
    </row>
    <row r="108" spans="3:3" x14ac:dyDescent="0.2">
      <c r="C108" s="222">
        <v>12</v>
      </c>
    </row>
    <row r="109" spans="3:3" x14ac:dyDescent="0.2">
      <c r="C109" s="222">
        <v>11</v>
      </c>
    </row>
    <row r="110" spans="3:3" x14ac:dyDescent="0.2">
      <c r="C110" s="222">
        <v>10</v>
      </c>
    </row>
    <row r="111" spans="3:3" x14ac:dyDescent="0.2">
      <c r="C111" s="222">
        <v>9</v>
      </c>
    </row>
    <row r="112" spans="3:3" x14ac:dyDescent="0.2">
      <c r="C112" s="222">
        <v>8</v>
      </c>
    </row>
    <row r="113" spans="3:3" x14ac:dyDescent="0.2">
      <c r="C113" s="222">
        <v>7</v>
      </c>
    </row>
    <row r="114" spans="3:3" x14ac:dyDescent="0.2">
      <c r="C114" s="222">
        <v>6</v>
      </c>
    </row>
    <row r="115" spans="3:3" x14ac:dyDescent="0.2">
      <c r="C115" s="222">
        <v>5</v>
      </c>
    </row>
    <row r="116" spans="3:3" x14ac:dyDescent="0.2">
      <c r="C116" s="222">
        <v>4</v>
      </c>
    </row>
    <row r="117" spans="3:3" x14ac:dyDescent="0.2">
      <c r="C117" s="222">
        <v>3</v>
      </c>
    </row>
    <row r="118" spans="3:3" x14ac:dyDescent="0.2">
      <c r="C118" s="222">
        <v>2</v>
      </c>
    </row>
    <row r="119" spans="3:3" x14ac:dyDescent="0.2">
      <c r="C119" s="222">
        <v>1</v>
      </c>
    </row>
    <row r="120" spans="3:3" x14ac:dyDescent="0.2">
      <c r="C120" s="222">
        <v>0</v>
      </c>
    </row>
  </sheetData>
  <mergeCells count="1">
    <mergeCell ref="C47:F51"/>
  </mergeCells>
  <pageMargins left="0.75" right="0.75" top="1" bottom="1" header="0.5" footer="0.5"/>
  <pageSetup orientation="portrait" horizont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7"/>
  <sheetViews>
    <sheetView workbookViewId="0">
      <selection activeCell="C2" sqref="C2"/>
    </sheetView>
  </sheetViews>
  <sheetFormatPr defaultRowHeight="12.75" x14ac:dyDescent="0.2"/>
  <cols>
    <col min="1" max="1" width="9.140625" style="222"/>
    <col min="2" max="2" width="3.140625" style="222" customWidth="1"/>
    <col min="3" max="3" width="28.85546875" style="222" customWidth="1"/>
    <col min="4" max="4" width="17.42578125" style="222" customWidth="1"/>
    <col min="5" max="5" width="3.140625" style="222" customWidth="1"/>
    <col min="6" max="16384" width="9.140625" style="222"/>
  </cols>
  <sheetData>
    <row r="1" spans="2:5" ht="18" x14ac:dyDescent="0.25">
      <c r="C1" s="223" t="s">
        <v>189</v>
      </c>
    </row>
    <row r="2" spans="2:5" ht="15" x14ac:dyDescent="0.2">
      <c r="C2" s="224" t="s">
        <v>45</v>
      </c>
    </row>
    <row r="4" spans="2:5" ht="15" x14ac:dyDescent="0.2">
      <c r="C4" s="225" t="s">
        <v>1</v>
      </c>
      <c r="D4" s="224"/>
      <c r="E4" s="224"/>
    </row>
    <row r="5" spans="2:5" s="224" customFormat="1" ht="15.75" thickBot="1" x14ac:dyDescent="0.25">
      <c r="C5" s="226"/>
      <c r="D5" s="227"/>
    </row>
    <row r="6" spans="2:5" s="224" customFormat="1" ht="15" x14ac:dyDescent="0.2">
      <c r="B6" s="228"/>
      <c r="C6" s="229"/>
      <c r="D6" s="230"/>
      <c r="E6" s="231"/>
    </row>
    <row r="7" spans="2:5" s="224" customFormat="1" ht="15" x14ac:dyDescent="0.2">
      <c r="B7" s="232"/>
      <c r="C7" s="233" t="s">
        <v>235</v>
      </c>
      <c r="D7" s="234"/>
      <c r="E7" s="235"/>
    </row>
    <row r="8" spans="2:5" s="224" customFormat="1" ht="15" x14ac:dyDescent="0.2">
      <c r="B8" s="232"/>
      <c r="C8" s="234" t="s">
        <v>5</v>
      </c>
      <c r="D8" s="95">
        <v>5.8000000000000003E-2</v>
      </c>
      <c r="E8" s="235"/>
    </row>
    <row r="9" spans="2:5" s="224" customFormat="1" ht="15" x14ac:dyDescent="0.2">
      <c r="B9" s="232"/>
      <c r="C9" s="234" t="s">
        <v>8</v>
      </c>
      <c r="D9" s="87">
        <v>36526</v>
      </c>
      <c r="E9" s="235"/>
    </row>
    <row r="10" spans="2:5" s="224" customFormat="1" ht="15" x14ac:dyDescent="0.2">
      <c r="B10" s="232"/>
      <c r="C10" s="234" t="s">
        <v>9</v>
      </c>
      <c r="D10" s="87">
        <v>37622</v>
      </c>
      <c r="E10" s="235"/>
    </row>
    <row r="11" spans="2:5" s="224" customFormat="1" ht="15" x14ac:dyDescent="0.2">
      <c r="B11" s="232"/>
      <c r="C11" s="234" t="s">
        <v>230</v>
      </c>
      <c r="D11" s="93">
        <v>100</v>
      </c>
      <c r="E11" s="235"/>
    </row>
    <row r="12" spans="2:5" s="224" customFormat="1" ht="15" x14ac:dyDescent="0.2">
      <c r="B12" s="232"/>
      <c r="C12" s="234" t="s">
        <v>37</v>
      </c>
      <c r="D12" s="93">
        <v>2</v>
      </c>
      <c r="E12" s="235"/>
    </row>
    <row r="13" spans="2:5" s="224" customFormat="1" ht="15" x14ac:dyDescent="0.2">
      <c r="B13" s="232"/>
      <c r="C13" s="234"/>
      <c r="D13" s="92"/>
      <c r="E13" s="235"/>
    </row>
    <row r="14" spans="2:5" s="224" customFormat="1" ht="15" x14ac:dyDescent="0.2">
      <c r="B14" s="232"/>
      <c r="C14" s="233" t="s">
        <v>239</v>
      </c>
      <c r="D14" s="92"/>
      <c r="E14" s="235"/>
    </row>
    <row r="15" spans="2:5" s="224" customFormat="1" ht="15" x14ac:dyDescent="0.2">
      <c r="B15" s="232"/>
      <c r="C15" s="234" t="s">
        <v>5</v>
      </c>
      <c r="D15" s="261">
        <f>D8</f>
        <v>5.8000000000000003E-2</v>
      </c>
      <c r="E15" s="235"/>
    </row>
    <row r="16" spans="2:5" s="224" customFormat="1" ht="15" x14ac:dyDescent="0.2">
      <c r="B16" s="232"/>
      <c r="C16" s="234" t="s">
        <v>8</v>
      </c>
      <c r="D16" s="87">
        <v>36526</v>
      </c>
      <c r="E16" s="235"/>
    </row>
    <row r="17" spans="2:5" s="224" customFormat="1" ht="15" x14ac:dyDescent="0.2">
      <c r="B17" s="232"/>
      <c r="C17" s="234" t="s">
        <v>9</v>
      </c>
      <c r="D17" s="87">
        <v>43831</v>
      </c>
      <c r="E17" s="235"/>
    </row>
    <row r="18" spans="2:5" s="224" customFormat="1" ht="15" x14ac:dyDescent="0.2">
      <c r="B18" s="232"/>
      <c r="C18" s="234" t="s">
        <v>230</v>
      </c>
      <c r="D18" s="93">
        <v>100</v>
      </c>
      <c r="E18" s="235"/>
    </row>
    <row r="19" spans="2:5" s="224" customFormat="1" ht="15" x14ac:dyDescent="0.2">
      <c r="B19" s="232"/>
      <c r="C19" s="234" t="s">
        <v>37</v>
      </c>
      <c r="D19" s="93">
        <v>2</v>
      </c>
      <c r="E19" s="235"/>
    </row>
    <row r="20" spans="2:5" s="224" customFormat="1" ht="15" x14ac:dyDescent="0.2">
      <c r="B20" s="232"/>
      <c r="C20" s="234"/>
      <c r="D20" s="93"/>
      <c r="E20" s="235"/>
    </row>
    <row r="21" spans="2:5" s="224" customFormat="1" ht="15" x14ac:dyDescent="0.2">
      <c r="B21" s="232"/>
      <c r="C21" s="234" t="s">
        <v>39</v>
      </c>
      <c r="D21" s="91">
        <v>-0.02</v>
      </c>
      <c r="E21" s="235"/>
    </row>
    <row r="22" spans="2:5" s="224" customFormat="1" ht="15" customHeight="1" thickBot="1" x14ac:dyDescent="0.25">
      <c r="B22" s="236"/>
      <c r="C22" s="237"/>
      <c r="D22" s="35"/>
      <c r="E22" s="238"/>
    </row>
    <row r="23" spans="2:5" s="224" customFormat="1" ht="15" x14ac:dyDescent="0.2"/>
    <row r="24" spans="2:5" s="224" customFormat="1" ht="15" x14ac:dyDescent="0.2">
      <c r="C24" s="225" t="s">
        <v>2</v>
      </c>
    </row>
    <row r="25" spans="2:5" s="224" customFormat="1" ht="15.75" thickBot="1" x14ac:dyDescent="0.25">
      <c r="C25" s="226"/>
    </row>
    <row r="26" spans="2:5" s="224" customFormat="1" ht="15" x14ac:dyDescent="0.2">
      <c r="B26" s="262"/>
      <c r="C26" s="263"/>
      <c r="D26" s="263"/>
      <c r="E26" s="264"/>
    </row>
    <row r="27" spans="2:5" s="224" customFormat="1" ht="15" x14ac:dyDescent="0.2">
      <c r="B27" s="265"/>
      <c r="C27" s="266" t="s">
        <v>236</v>
      </c>
      <c r="D27" s="38">
        <f>10*PRICE(D9,D10,D8,D8+D21,D11,D12)</f>
        <v>1056.2038349907725</v>
      </c>
      <c r="E27" s="267"/>
    </row>
    <row r="28" spans="2:5" s="224" customFormat="1" ht="15" x14ac:dyDescent="0.2">
      <c r="B28" s="265"/>
      <c r="C28" s="266"/>
      <c r="D28" s="266"/>
      <c r="E28" s="267"/>
    </row>
    <row r="29" spans="2:5" s="224" customFormat="1" ht="15" x14ac:dyDescent="0.2">
      <c r="B29" s="265"/>
      <c r="C29" s="268" t="s">
        <v>240</v>
      </c>
      <c r="D29" s="38">
        <f>10*PRICE(D16,D17,D15,D15+D21,D18,D19)</f>
        <v>1278.4143555799715</v>
      </c>
      <c r="E29" s="30"/>
    </row>
    <row r="30" spans="2:5" s="224" customFormat="1" ht="15.75" x14ac:dyDescent="0.25">
      <c r="B30" s="265"/>
      <c r="C30" s="268"/>
      <c r="D30" s="33"/>
      <c r="E30" s="30"/>
    </row>
    <row r="31" spans="2:5" s="224" customFormat="1" ht="15.75" x14ac:dyDescent="0.25">
      <c r="B31" s="265"/>
      <c r="C31" s="268" t="s">
        <v>237</v>
      </c>
      <c r="D31" s="31">
        <f>(D27-D11*10)/(D11*10)</f>
        <v>5.6203834990772521E-2</v>
      </c>
      <c r="E31" s="30"/>
    </row>
    <row r="32" spans="2:5" s="224" customFormat="1" ht="15.75" x14ac:dyDescent="0.25">
      <c r="B32" s="265"/>
      <c r="C32" s="268"/>
      <c r="D32" s="33"/>
      <c r="E32" s="30"/>
    </row>
    <row r="33" spans="2:5" s="224" customFormat="1" ht="15.75" x14ac:dyDescent="0.25">
      <c r="B33" s="265"/>
      <c r="C33" s="268" t="s">
        <v>241</v>
      </c>
      <c r="D33" s="31">
        <f>(D29-(D18*10))/(D18*10)</f>
        <v>0.27841435557997146</v>
      </c>
      <c r="E33" s="30"/>
    </row>
    <row r="34" spans="2:5" s="224" customFormat="1" ht="15.75" x14ac:dyDescent="0.25">
      <c r="B34" s="265"/>
      <c r="C34" s="268"/>
      <c r="D34" s="33"/>
      <c r="E34" s="30"/>
    </row>
    <row r="35" spans="2:5" s="224" customFormat="1" ht="15.75" x14ac:dyDescent="0.25">
      <c r="B35" s="265"/>
      <c r="C35" s="268" t="s">
        <v>251</v>
      </c>
      <c r="D35" s="36"/>
      <c r="E35" s="30"/>
    </row>
    <row r="36" spans="2:5" s="224" customFormat="1" ht="15.75" x14ac:dyDescent="0.25">
      <c r="B36" s="265"/>
      <c r="C36" s="268" t="s">
        <v>40</v>
      </c>
      <c r="D36" s="36"/>
      <c r="E36" s="30"/>
    </row>
    <row r="37" spans="2:5" s="224" customFormat="1" ht="15.75" x14ac:dyDescent="0.25">
      <c r="B37" s="265"/>
      <c r="C37" s="268" t="s">
        <v>41</v>
      </c>
      <c r="D37" s="36"/>
      <c r="E37" s="30"/>
    </row>
    <row r="38" spans="2:5" s="224" customFormat="1" ht="15.75" x14ac:dyDescent="0.25">
      <c r="B38" s="265"/>
      <c r="C38" s="268"/>
      <c r="D38" s="36"/>
      <c r="E38" s="30"/>
    </row>
    <row r="39" spans="2:5" s="224" customFormat="1" ht="15.75" x14ac:dyDescent="0.25">
      <c r="B39" s="265"/>
      <c r="C39" s="269" t="s">
        <v>238</v>
      </c>
      <c r="D39" s="36"/>
      <c r="E39" s="30"/>
    </row>
    <row r="40" spans="2:5" s="224" customFormat="1" ht="15" x14ac:dyDescent="0.2">
      <c r="B40" s="265"/>
      <c r="C40" s="270" t="s">
        <v>222</v>
      </c>
      <c r="D40" s="271" t="s">
        <v>91</v>
      </c>
      <c r="E40" s="30"/>
    </row>
    <row r="41" spans="2:5" s="224" customFormat="1" ht="15" x14ac:dyDescent="0.2">
      <c r="B41" s="265"/>
      <c r="C41" s="272">
        <v>0</v>
      </c>
      <c r="D41" s="273">
        <f>PRICE($D$9,$D$10,$D$8,C41,$D$11,$D$12)*10</f>
        <v>1174</v>
      </c>
      <c r="E41" s="30"/>
    </row>
    <row r="42" spans="2:5" s="224" customFormat="1" ht="15" x14ac:dyDescent="0.2">
      <c r="B42" s="265"/>
      <c r="C42" s="272">
        <v>0.01</v>
      </c>
      <c r="D42" s="273">
        <f>PRICE($D$9,$D$10,$D$8,C42,$D$11,$D$12)*10</f>
        <v>1141.5132257456457</v>
      </c>
      <c r="E42" s="30"/>
    </row>
    <row r="43" spans="2:5" s="224" customFormat="1" ht="15" x14ac:dyDescent="0.2">
      <c r="B43" s="265"/>
      <c r="C43" s="272">
        <v>0.02</v>
      </c>
      <c r="D43" s="273">
        <f t="shared" ref="D43:D51" si="0">PRICE($D$9,$D$10,$D$8,C43,$D$11,$D$12)*10</f>
        <v>1110.1140530170071</v>
      </c>
      <c r="E43" s="30"/>
    </row>
    <row r="44" spans="2:5" s="224" customFormat="1" ht="15" x14ac:dyDescent="0.2">
      <c r="B44" s="265"/>
      <c r="C44" s="272">
        <v>0.03</v>
      </c>
      <c r="D44" s="273">
        <f t="shared" si="0"/>
        <v>1079.7606203166542</v>
      </c>
      <c r="E44" s="30"/>
    </row>
    <row r="45" spans="2:5" s="224" customFormat="1" ht="15" x14ac:dyDescent="0.2">
      <c r="B45" s="265"/>
      <c r="C45" s="272">
        <v>0.04</v>
      </c>
      <c r="D45" s="273">
        <f t="shared" si="0"/>
        <v>1050.4128780162134</v>
      </c>
      <c r="E45" s="30"/>
    </row>
    <row r="46" spans="2:5" s="224" customFormat="1" ht="15" x14ac:dyDescent="0.2">
      <c r="B46" s="265"/>
      <c r="C46" s="272">
        <v>0.05</v>
      </c>
      <c r="D46" s="273">
        <f t="shared" si="0"/>
        <v>1022.0325014463197</v>
      </c>
      <c r="E46" s="30"/>
    </row>
    <row r="47" spans="2:5" s="224" customFormat="1" ht="15" x14ac:dyDescent="0.2">
      <c r="B47" s="265"/>
      <c r="C47" s="272">
        <v>0.06</v>
      </c>
      <c r="D47" s="273">
        <f t="shared" si="0"/>
        <v>994.5828085561219</v>
      </c>
      <c r="E47" s="30"/>
    </row>
    <row r="48" spans="2:5" s="224" customFormat="1" ht="15" x14ac:dyDescent="0.2">
      <c r="B48" s="265"/>
      <c r="C48" s="272">
        <v>7.0000000000000007E-2</v>
      </c>
      <c r="D48" s="273">
        <f t="shared" si="0"/>
        <v>968.02868188132936</v>
      </c>
      <c r="E48" s="30"/>
    </row>
    <row r="49" spans="2:5" s="224" customFormat="1" ht="15" x14ac:dyDescent="0.2">
      <c r="B49" s="265"/>
      <c r="C49" s="272">
        <v>0.08</v>
      </c>
      <c r="D49" s="273">
        <f t="shared" si="0"/>
        <v>942.33649457578986</v>
      </c>
      <c r="E49" s="30"/>
    </row>
    <row r="50" spans="2:5" s="224" customFormat="1" ht="15" x14ac:dyDescent="0.2">
      <c r="B50" s="265"/>
      <c r="C50" s="272">
        <v>0.09</v>
      </c>
      <c r="D50" s="273">
        <f t="shared" si="0"/>
        <v>917.47404027668199</v>
      </c>
      <c r="E50" s="30"/>
    </row>
    <row r="51" spans="2:5" s="224" customFormat="1" ht="15" x14ac:dyDescent="0.2">
      <c r="B51" s="265"/>
      <c r="C51" s="272">
        <v>0.1</v>
      </c>
      <c r="D51" s="273">
        <f t="shared" si="0"/>
        <v>893.41046658738378</v>
      </c>
      <c r="E51" s="30"/>
    </row>
    <row r="52" spans="2:5" s="224" customFormat="1" ht="15.75" x14ac:dyDescent="0.25">
      <c r="B52" s="265"/>
      <c r="C52" s="272"/>
      <c r="D52" s="36"/>
      <c r="E52" s="30"/>
    </row>
    <row r="53" spans="2:5" s="224" customFormat="1" ht="15.75" x14ac:dyDescent="0.25">
      <c r="B53" s="265"/>
      <c r="C53" s="269" t="s">
        <v>242</v>
      </c>
      <c r="D53" s="36"/>
      <c r="E53" s="30"/>
    </row>
    <row r="54" spans="2:5" s="224" customFormat="1" ht="15.75" x14ac:dyDescent="0.25">
      <c r="B54" s="265"/>
      <c r="C54" s="270" t="s">
        <v>222</v>
      </c>
      <c r="D54" s="36"/>
      <c r="E54" s="30"/>
    </row>
    <row r="55" spans="2:5" s="224" customFormat="1" ht="15" x14ac:dyDescent="0.2">
      <c r="B55" s="265"/>
      <c r="C55" s="272">
        <v>0</v>
      </c>
      <c r="D55" s="273">
        <f>PRICE($D$16,$D$17,$D$15,C55,$D$18,$D$19)*10</f>
        <v>2160.0000000000009</v>
      </c>
      <c r="E55" s="30"/>
    </row>
    <row r="56" spans="2:5" s="224" customFormat="1" ht="15" x14ac:dyDescent="0.2">
      <c r="B56" s="265"/>
      <c r="C56" s="272">
        <v>0.01</v>
      </c>
      <c r="D56" s="273">
        <f>PRICE($D$16,$D$17,$D$15,C56,$D$18,$D$19)*10</f>
        <v>1868.1334687380015</v>
      </c>
      <c r="E56" s="30"/>
    </row>
    <row r="57" spans="2:5" s="224" customFormat="1" ht="15" x14ac:dyDescent="0.2">
      <c r="B57" s="265"/>
      <c r="C57" s="272">
        <v>0.02</v>
      </c>
      <c r="D57" s="273">
        <f t="shared" ref="D57:D65" si="1">PRICE($D$16,$D$17,$D$15,C57,$D$18,$D$19)*10</f>
        <v>1623.8590361651666</v>
      </c>
      <c r="E57" s="30"/>
    </row>
    <row r="58" spans="2:5" s="224" customFormat="1" ht="15" x14ac:dyDescent="0.2">
      <c r="B58" s="265"/>
      <c r="C58" s="272">
        <v>0.03</v>
      </c>
      <c r="D58" s="273">
        <f t="shared" si="1"/>
        <v>1418.8218328584492</v>
      </c>
      <c r="E58" s="30"/>
    </row>
    <row r="59" spans="2:5" s="224" customFormat="1" ht="15" x14ac:dyDescent="0.2">
      <c r="B59" s="265"/>
      <c r="C59" s="272">
        <v>0.04</v>
      </c>
      <c r="D59" s="273">
        <f t="shared" si="1"/>
        <v>1246.1993131666438</v>
      </c>
      <c r="E59" s="30"/>
    </row>
    <row r="60" spans="2:5" s="224" customFormat="1" ht="15" x14ac:dyDescent="0.2">
      <c r="B60" s="265"/>
      <c r="C60" s="272">
        <v>0.05</v>
      </c>
      <c r="D60" s="273">
        <f t="shared" si="1"/>
        <v>1100.4111002083525</v>
      </c>
      <c r="E60" s="30"/>
    </row>
    <row r="61" spans="2:5" s="224" customFormat="1" ht="15" x14ac:dyDescent="0.2">
      <c r="B61" s="265"/>
      <c r="C61" s="272">
        <v>0.06</v>
      </c>
      <c r="D61" s="273">
        <f t="shared" si="1"/>
        <v>976.88522802579405</v>
      </c>
      <c r="E61" s="30"/>
    </row>
    <row r="62" spans="2:5" s="224" customFormat="1" ht="15" x14ac:dyDescent="0.2">
      <c r="B62" s="265"/>
      <c r="C62" s="272">
        <v>7.0000000000000007E-2</v>
      </c>
      <c r="D62" s="273">
        <f t="shared" si="1"/>
        <v>871.86956597621656</v>
      </c>
      <c r="E62" s="30"/>
    </row>
    <row r="63" spans="2:5" s="224" customFormat="1" ht="15" x14ac:dyDescent="0.2">
      <c r="B63" s="265"/>
      <c r="C63" s="272">
        <v>0.08</v>
      </c>
      <c r="D63" s="273">
        <f t="shared" si="1"/>
        <v>782.27948728230842</v>
      </c>
      <c r="E63" s="30"/>
    </row>
    <row r="64" spans="2:5" s="224" customFormat="1" ht="15" x14ac:dyDescent="0.2">
      <c r="B64" s="265"/>
      <c r="C64" s="272">
        <v>0.09</v>
      </c>
      <c r="D64" s="273">
        <f t="shared" si="1"/>
        <v>705.57464927552519</v>
      </c>
      <c r="E64" s="30"/>
    </row>
    <row r="65" spans="2:5" s="224" customFormat="1" ht="15" x14ac:dyDescent="0.2">
      <c r="B65" s="265"/>
      <c r="C65" s="272">
        <v>0.1</v>
      </c>
      <c r="D65" s="273">
        <f t="shared" si="1"/>
        <v>639.65918656611666</v>
      </c>
      <c r="E65" s="30"/>
    </row>
    <row r="66" spans="2:5" s="224" customFormat="1" ht="15" customHeight="1" thickBot="1" x14ac:dyDescent="0.25">
      <c r="B66" s="274"/>
      <c r="C66" s="275"/>
      <c r="D66" s="275"/>
      <c r="E66" s="276"/>
    </row>
    <row r="67" spans="2:5" s="224" customFormat="1" ht="15" x14ac:dyDescent="0.2"/>
  </sheetData>
  <pageMargins left="0.75" right="0.75" top="1" bottom="1" header="0.5" footer="0.5"/>
  <pageSetup orientation="portrait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3"/>
  <dimension ref="B1:F2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7109375" customWidth="1"/>
    <col min="4" max="4" width="17.140625" customWidth="1"/>
    <col min="5" max="5" width="3.140625" customWidth="1"/>
    <col min="6" max="7" width="9.140625" customWidth="1"/>
  </cols>
  <sheetData>
    <row r="1" spans="2:6" ht="18" x14ac:dyDescent="0.25">
      <c r="C1" s="1" t="s">
        <v>189</v>
      </c>
    </row>
    <row r="2" spans="2:6" ht="15" x14ac:dyDescent="0.2">
      <c r="C2" s="2" t="s">
        <v>0</v>
      </c>
    </row>
    <row r="4" spans="2:6" ht="15" x14ac:dyDescent="0.2">
      <c r="C4" s="3" t="s">
        <v>1</v>
      </c>
      <c r="D4" s="2"/>
      <c r="E4" s="2"/>
      <c r="F4" s="2"/>
    </row>
    <row r="5" spans="2:6" s="2" customFormat="1" ht="15.75" thickBot="1" x14ac:dyDescent="0.25">
      <c r="C5" s="4"/>
      <c r="D5" s="5"/>
    </row>
    <row r="6" spans="2:6" s="2" customFormat="1" ht="15" x14ac:dyDescent="0.2">
      <c r="B6" s="21"/>
      <c r="C6" s="6"/>
      <c r="D6" s="7"/>
      <c r="E6" s="8"/>
    </row>
    <row r="7" spans="2:6" s="2" customFormat="1" ht="15" x14ac:dyDescent="0.2">
      <c r="B7" s="22"/>
      <c r="C7" s="9" t="s">
        <v>54</v>
      </c>
      <c r="D7" s="128">
        <v>20</v>
      </c>
      <c r="E7" s="10"/>
    </row>
    <row r="8" spans="2:6" s="2" customFormat="1" ht="15" x14ac:dyDescent="0.2">
      <c r="B8" s="22"/>
      <c r="C8" s="9" t="s">
        <v>15</v>
      </c>
      <c r="D8" s="90">
        <v>1000</v>
      </c>
      <c r="E8" s="10"/>
    </row>
    <row r="9" spans="2:6" s="2" customFormat="1" ht="15" x14ac:dyDescent="0.2">
      <c r="B9" s="22" t="s">
        <v>50</v>
      </c>
      <c r="C9" s="9" t="s">
        <v>6</v>
      </c>
      <c r="D9" s="91">
        <v>0.06</v>
      </c>
      <c r="E9" s="10"/>
    </row>
    <row r="10" spans="2:6" s="2" customFormat="1" ht="15" x14ac:dyDescent="0.2">
      <c r="B10" s="22" t="s">
        <v>51</v>
      </c>
      <c r="C10" s="9" t="s">
        <v>6</v>
      </c>
      <c r="D10" s="91">
        <v>0.08</v>
      </c>
      <c r="E10" s="10"/>
    </row>
    <row r="11" spans="2:6" s="2" customFormat="1" ht="15" x14ac:dyDescent="0.2">
      <c r="B11" s="22" t="s">
        <v>52</v>
      </c>
      <c r="C11" s="9" t="s">
        <v>6</v>
      </c>
      <c r="D11" s="91">
        <v>0.1</v>
      </c>
      <c r="E11" s="10"/>
    </row>
    <row r="12" spans="2:6" s="2" customFormat="1" ht="15" customHeight="1" thickBot="1" x14ac:dyDescent="0.25">
      <c r="B12" s="23"/>
      <c r="C12" s="11"/>
      <c r="D12" s="11"/>
      <c r="E12" s="12"/>
    </row>
    <row r="13" spans="2:6" s="2" customFormat="1" ht="15" x14ac:dyDescent="0.2"/>
    <row r="14" spans="2:6" s="2" customFormat="1" ht="15" x14ac:dyDescent="0.2">
      <c r="C14" s="3" t="s">
        <v>2</v>
      </c>
    </row>
    <row r="15" spans="2:6" s="2" customFormat="1" ht="15.75" thickBot="1" x14ac:dyDescent="0.25">
      <c r="C15" s="4"/>
    </row>
    <row r="16" spans="2:6" s="2" customFormat="1" ht="15" x14ac:dyDescent="0.2">
      <c r="B16" s="24"/>
      <c r="C16" s="13"/>
      <c r="D16" s="13"/>
      <c r="E16" s="25"/>
    </row>
    <row r="17" spans="2:5" s="2" customFormat="1" ht="15.75" x14ac:dyDescent="0.25">
      <c r="B17" s="19" t="s">
        <v>50</v>
      </c>
      <c r="C17" s="14" t="s">
        <v>91</v>
      </c>
      <c r="D17" s="41">
        <f>PV(D9/2,D7*2,0,-D8)</f>
        <v>306.55684077380687</v>
      </c>
      <c r="E17" s="20"/>
    </row>
    <row r="18" spans="2:5" s="2" customFormat="1" ht="15" x14ac:dyDescent="0.2">
      <c r="B18" s="19"/>
      <c r="C18" s="16"/>
      <c r="D18" s="129"/>
      <c r="E18" s="20"/>
    </row>
    <row r="19" spans="2:5" s="2" customFormat="1" ht="15.75" x14ac:dyDescent="0.25">
      <c r="B19" s="19" t="s">
        <v>51</v>
      </c>
      <c r="C19" s="16" t="s">
        <v>91</v>
      </c>
      <c r="D19" s="41">
        <f>PV(D10/2,D7*2,0,-D8)</f>
        <v>208.28904466294102</v>
      </c>
      <c r="E19" s="20"/>
    </row>
    <row r="20" spans="2:5" s="2" customFormat="1" ht="15" x14ac:dyDescent="0.2">
      <c r="B20" s="19"/>
      <c r="C20" s="16"/>
      <c r="D20" s="129"/>
      <c r="E20" s="20"/>
    </row>
    <row r="21" spans="2:5" s="2" customFormat="1" ht="15.75" x14ac:dyDescent="0.25">
      <c r="B21" s="19" t="s">
        <v>52</v>
      </c>
      <c r="C21" s="16" t="s">
        <v>91</v>
      </c>
      <c r="D21" s="41">
        <f>PV(D11/2,D7*2,0,-D8)</f>
        <v>142.04568230027783</v>
      </c>
      <c r="E21" s="20"/>
    </row>
    <row r="22" spans="2:5" s="2" customFormat="1" ht="15" customHeight="1" thickBot="1" x14ac:dyDescent="0.25">
      <c r="B22" s="26"/>
      <c r="C22" s="27"/>
      <c r="D22" s="27"/>
      <c r="E22" s="28"/>
    </row>
    <row r="23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2111111111"/>
  <dimension ref="B1:E43"/>
  <sheetViews>
    <sheetView workbookViewId="0">
      <selection activeCell="C1" sqref="C1"/>
    </sheetView>
  </sheetViews>
  <sheetFormatPr defaultRowHeight="12.75" x14ac:dyDescent="0.2"/>
  <cols>
    <col min="2" max="2" width="3.140625" customWidth="1"/>
    <col min="3" max="3" width="29.42578125" customWidth="1"/>
    <col min="4" max="4" width="17.42578125" customWidth="1"/>
    <col min="5" max="5" width="3.140625" customWidth="1"/>
  </cols>
  <sheetData>
    <row r="1" spans="2:5" ht="18" x14ac:dyDescent="0.25">
      <c r="C1" s="1" t="s">
        <v>189</v>
      </c>
    </row>
    <row r="2" spans="2:5" ht="15" x14ac:dyDescent="0.2">
      <c r="C2" s="2" t="s">
        <v>46</v>
      </c>
    </row>
    <row r="4" spans="2:5" ht="15" x14ac:dyDescent="0.2">
      <c r="C4" s="3" t="s">
        <v>1</v>
      </c>
      <c r="D4" s="2"/>
      <c r="E4" s="2"/>
    </row>
    <row r="5" spans="2:5" s="2" customFormat="1" ht="15.75" thickBot="1" x14ac:dyDescent="0.25">
      <c r="C5" s="4"/>
      <c r="D5" s="5"/>
    </row>
    <row r="6" spans="2:5" s="2" customFormat="1" ht="15" x14ac:dyDescent="0.2">
      <c r="B6" s="21"/>
      <c r="C6" s="6"/>
      <c r="D6" s="7"/>
      <c r="E6" s="8"/>
    </row>
    <row r="7" spans="2:5" s="2" customFormat="1" ht="15" x14ac:dyDescent="0.2">
      <c r="B7" s="22"/>
      <c r="C7" s="34" t="s">
        <v>149</v>
      </c>
      <c r="D7" s="9"/>
      <c r="E7" s="10"/>
    </row>
    <row r="8" spans="2:5" s="2" customFormat="1" ht="15" x14ac:dyDescent="0.2">
      <c r="B8" s="22"/>
      <c r="C8" s="9" t="s">
        <v>5</v>
      </c>
      <c r="D8" s="91">
        <v>7.0000000000000007E-2</v>
      </c>
      <c r="E8" s="10"/>
    </row>
    <row r="9" spans="2:5" s="2" customFormat="1" ht="15" x14ac:dyDescent="0.2">
      <c r="B9" s="22"/>
      <c r="C9" s="9" t="s">
        <v>43</v>
      </c>
      <c r="D9" s="91">
        <v>0.09</v>
      </c>
      <c r="E9" s="10"/>
    </row>
    <row r="10" spans="2:5" s="2" customFormat="1" ht="15" x14ac:dyDescent="0.2">
      <c r="B10" s="22"/>
      <c r="C10" s="9" t="s">
        <v>8</v>
      </c>
      <c r="D10" s="87">
        <v>36526</v>
      </c>
      <c r="E10" s="10"/>
    </row>
    <row r="11" spans="2:5" s="2" customFormat="1" ht="15" x14ac:dyDescent="0.2">
      <c r="B11" s="22"/>
      <c r="C11" s="9" t="s">
        <v>9</v>
      </c>
      <c r="D11" s="87">
        <v>40909</v>
      </c>
      <c r="E11" s="10"/>
    </row>
    <row r="12" spans="2:5" s="2" customFormat="1" ht="15" x14ac:dyDescent="0.2">
      <c r="B12" s="22"/>
      <c r="C12" s="9" t="s">
        <v>15</v>
      </c>
      <c r="D12" s="93">
        <v>1000</v>
      </c>
      <c r="E12" s="10"/>
    </row>
    <row r="13" spans="2:5" s="2" customFormat="1" ht="15" x14ac:dyDescent="0.2">
      <c r="B13" s="22"/>
      <c r="C13" s="9" t="s">
        <v>37</v>
      </c>
      <c r="D13" s="93">
        <v>2</v>
      </c>
      <c r="E13" s="10"/>
    </row>
    <row r="14" spans="2:5" s="2" customFormat="1" ht="15" x14ac:dyDescent="0.2">
      <c r="B14" s="22"/>
      <c r="C14" s="9"/>
      <c r="D14" s="92"/>
      <c r="E14" s="10"/>
    </row>
    <row r="15" spans="2:5" s="2" customFormat="1" ht="15" x14ac:dyDescent="0.2">
      <c r="B15" s="22"/>
      <c r="C15" s="34" t="s">
        <v>248</v>
      </c>
      <c r="D15" s="92"/>
      <c r="E15" s="10"/>
    </row>
    <row r="16" spans="2:5" s="2" customFormat="1" ht="15" x14ac:dyDescent="0.2">
      <c r="B16" s="22"/>
      <c r="C16" s="9" t="s">
        <v>5</v>
      </c>
      <c r="D16" s="91">
        <v>0.11</v>
      </c>
      <c r="E16" s="10"/>
    </row>
    <row r="17" spans="2:5" s="2" customFormat="1" ht="15" x14ac:dyDescent="0.2">
      <c r="B17" s="22"/>
      <c r="C17" s="9" t="s">
        <v>43</v>
      </c>
      <c r="D17" s="213">
        <f>D9</f>
        <v>0.09</v>
      </c>
      <c r="E17" s="10"/>
    </row>
    <row r="18" spans="2:5" s="2" customFormat="1" ht="15" x14ac:dyDescent="0.2">
      <c r="B18" s="22"/>
      <c r="C18" s="9" t="s">
        <v>8</v>
      </c>
      <c r="D18" s="212">
        <f>D10</f>
        <v>36526</v>
      </c>
      <c r="E18" s="10"/>
    </row>
    <row r="19" spans="2:5" s="2" customFormat="1" ht="15" x14ac:dyDescent="0.2">
      <c r="B19" s="22"/>
      <c r="C19" s="9" t="s">
        <v>9</v>
      </c>
      <c r="D19" s="212">
        <f>D11</f>
        <v>40909</v>
      </c>
      <c r="E19" s="10"/>
    </row>
    <row r="20" spans="2:5" s="2" customFormat="1" ht="15" x14ac:dyDescent="0.2">
      <c r="B20" s="22"/>
      <c r="C20" s="9" t="s">
        <v>15</v>
      </c>
      <c r="D20" s="93">
        <v>1000</v>
      </c>
      <c r="E20" s="10"/>
    </row>
    <row r="21" spans="2:5" s="2" customFormat="1" ht="15" x14ac:dyDescent="0.2">
      <c r="B21" s="22"/>
      <c r="C21" s="9" t="s">
        <v>37</v>
      </c>
      <c r="D21" s="93">
        <v>2</v>
      </c>
      <c r="E21" s="10"/>
    </row>
    <row r="22" spans="2:5" s="2" customFormat="1" ht="15" x14ac:dyDescent="0.2">
      <c r="B22" s="22"/>
      <c r="C22" s="9"/>
      <c r="D22" s="93"/>
      <c r="E22" s="10"/>
    </row>
    <row r="23" spans="2:5" s="2" customFormat="1" ht="15" x14ac:dyDescent="0.2">
      <c r="B23" s="22"/>
      <c r="C23" s="9" t="s">
        <v>39</v>
      </c>
      <c r="D23" s="91">
        <v>0.02</v>
      </c>
      <c r="E23" s="10"/>
    </row>
    <row r="24" spans="2:5" s="2" customFormat="1" ht="15" customHeight="1" thickBot="1" x14ac:dyDescent="0.25">
      <c r="B24" s="23"/>
      <c r="C24" s="11"/>
      <c r="D24" s="35"/>
      <c r="E24" s="12"/>
    </row>
    <row r="25" spans="2:5" s="2" customFormat="1" ht="15" x14ac:dyDescent="0.2"/>
    <row r="26" spans="2:5" s="2" customFormat="1" ht="15" x14ac:dyDescent="0.2">
      <c r="C26" s="3" t="s">
        <v>2</v>
      </c>
    </row>
    <row r="27" spans="2:5" s="2" customFormat="1" ht="15.75" thickBot="1" x14ac:dyDescent="0.25">
      <c r="C27" s="4"/>
    </row>
    <row r="28" spans="2:5" s="2" customFormat="1" ht="15" x14ac:dyDescent="0.2">
      <c r="B28" s="24"/>
      <c r="C28" s="13"/>
      <c r="D28" s="13"/>
      <c r="E28" s="25"/>
    </row>
    <row r="29" spans="2:5" s="2" customFormat="1" ht="15" x14ac:dyDescent="0.2">
      <c r="B29" s="19"/>
      <c r="C29" s="16" t="s">
        <v>150</v>
      </c>
      <c r="D29" s="38">
        <f>10*PRICE(D10,D11,D8,D9,D12/10,D13)</f>
        <v>855.04521633965419</v>
      </c>
      <c r="E29" s="20"/>
    </row>
    <row r="30" spans="2:5" s="2" customFormat="1" ht="15" x14ac:dyDescent="0.2">
      <c r="B30" s="19"/>
      <c r="C30" s="16" t="s">
        <v>151</v>
      </c>
      <c r="D30" s="39">
        <f>10*PRICE(D10,D11,D8,D9+D23,D12/10,D13)</f>
        <v>736.9660209504475</v>
      </c>
      <c r="E30" s="20"/>
    </row>
    <row r="31" spans="2:5" s="2" customFormat="1" ht="15" x14ac:dyDescent="0.2">
      <c r="B31" s="19"/>
      <c r="C31" s="16"/>
      <c r="D31" s="16"/>
      <c r="E31" s="20"/>
    </row>
    <row r="32" spans="2:5" s="2" customFormat="1" ht="15" x14ac:dyDescent="0.2">
      <c r="B32" s="19"/>
      <c r="C32" s="14" t="s">
        <v>249</v>
      </c>
      <c r="D32" s="38">
        <f>10*PRICE(D18,D19,D16,D17,D20/10,D21)</f>
        <v>1144.9547836603492</v>
      </c>
      <c r="E32" s="30"/>
    </row>
    <row r="33" spans="2:5" s="2" customFormat="1" ht="15" x14ac:dyDescent="0.2">
      <c r="B33" s="19"/>
      <c r="C33" s="14" t="s">
        <v>151</v>
      </c>
      <c r="D33" s="39">
        <f>10*PRICE(D18,D19,D16,D17+D23,D20/10,D21)</f>
        <v>1000.0000000000006</v>
      </c>
      <c r="E33" s="30"/>
    </row>
    <row r="34" spans="2:5" s="2" customFormat="1" ht="15.75" x14ac:dyDescent="0.25">
      <c r="B34" s="19"/>
      <c r="C34" s="14"/>
      <c r="D34" s="33"/>
      <c r="E34" s="30"/>
    </row>
    <row r="35" spans="2:5" s="2" customFormat="1" ht="15.75" x14ac:dyDescent="0.25">
      <c r="B35" s="19"/>
      <c r="C35" s="14" t="s">
        <v>152</v>
      </c>
      <c r="D35" s="31">
        <f>(D30-D29)/D29</f>
        <v>-0.13809701888595965</v>
      </c>
      <c r="E35" s="30"/>
    </row>
    <row r="36" spans="2:5" s="2" customFormat="1" ht="15.75" x14ac:dyDescent="0.25">
      <c r="B36" s="19"/>
      <c r="C36" s="14"/>
      <c r="D36" s="33"/>
      <c r="E36" s="30"/>
    </row>
    <row r="37" spans="2:5" s="2" customFormat="1" ht="15.75" x14ac:dyDescent="0.25">
      <c r="B37" s="19"/>
      <c r="C37" s="14" t="s">
        <v>250</v>
      </c>
      <c r="D37" s="31">
        <f>(D33-D32)/D32</f>
        <v>-0.1266030639192032</v>
      </c>
      <c r="E37" s="30"/>
    </row>
    <row r="38" spans="2:5" s="2" customFormat="1" ht="15.75" x14ac:dyDescent="0.25">
      <c r="B38" s="19"/>
      <c r="C38" s="14"/>
      <c r="D38" s="33"/>
      <c r="E38" s="30"/>
    </row>
    <row r="39" spans="2:5" s="2" customFormat="1" ht="15.75" x14ac:dyDescent="0.25">
      <c r="B39" s="19"/>
      <c r="C39" s="14" t="s">
        <v>252</v>
      </c>
      <c r="D39" s="36"/>
      <c r="E39" s="30"/>
    </row>
    <row r="40" spans="2:5" s="2" customFormat="1" ht="15.75" x14ac:dyDescent="0.25">
      <c r="B40" s="19"/>
      <c r="C40" s="14" t="s">
        <v>44</v>
      </c>
      <c r="D40" s="36"/>
      <c r="E40" s="30"/>
    </row>
    <row r="41" spans="2:5" s="2" customFormat="1" ht="15.75" x14ac:dyDescent="0.25">
      <c r="B41" s="19"/>
      <c r="C41" s="14" t="s">
        <v>41</v>
      </c>
      <c r="D41" s="36"/>
      <c r="E41" s="30"/>
    </row>
    <row r="42" spans="2:5" s="2" customFormat="1" ht="15" customHeight="1" thickBot="1" x14ac:dyDescent="0.25">
      <c r="B42" s="26"/>
      <c r="C42" s="27"/>
      <c r="D42" s="27"/>
      <c r="E42" s="28"/>
    </row>
    <row r="43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21"/>
  <dimension ref="B1:I24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" customWidth="1"/>
    <col min="4" max="4" width="13" customWidth="1"/>
    <col min="5" max="5" width="3.140625" customWidth="1"/>
    <col min="8" max="9" width="9.5703125" bestFit="1" customWidth="1"/>
  </cols>
  <sheetData>
    <row r="1" spans="2:5" ht="18" x14ac:dyDescent="0.25">
      <c r="C1" s="1" t="s">
        <v>189</v>
      </c>
    </row>
    <row r="2" spans="2:5" ht="15" x14ac:dyDescent="0.2">
      <c r="C2" s="2" t="s">
        <v>98</v>
      </c>
    </row>
    <row r="4" spans="2:5" ht="15" x14ac:dyDescent="0.2">
      <c r="C4" s="3" t="s">
        <v>1</v>
      </c>
      <c r="D4" s="2"/>
      <c r="E4" s="2"/>
    </row>
    <row r="5" spans="2:5" s="2" customFormat="1" ht="15.75" thickBot="1" x14ac:dyDescent="0.25">
      <c r="C5" s="4"/>
      <c r="D5" s="5"/>
    </row>
    <row r="6" spans="2:5" s="2" customFormat="1" ht="15" x14ac:dyDescent="0.2">
      <c r="B6" s="21"/>
      <c r="C6" s="6"/>
      <c r="D6" s="7"/>
      <c r="E6" s="8"/>
    </row>
    <row r="7" spans="2:5" s="2" customFormat="1" ht="15" x14ac:dyDescent="0.2">
      <c r="B7" s="22"/>
      <c r="C7" s="9" t="s">
        <v>8</v>
      </c>
      <c r="D7" s="86">
        <v>36526</v>
      </c>
      <c r="E7" s="10"/>
    </row>
    <row r="8" spans="2:5" s="2" customFormat="1" ht="15" x14ac:dyDescent="0.2">
      <c r="B8" s="22"/>
      <c r="C8" s="9" t="s">
        <v>9</v>
      </c>
      <c r="D8" s="87">
        <v>41275</v>
      </c>
      <c r="E8" s="10"/>
    </row>
    <row r="9" spans="2:5" s="2" customFormat="1" ht="15" x14ac:dyDescent="0.2">
      <c r="B9" s="22"/>
      <c r="C9" s="9" t="s">
        <v>10</v>
      </c>
      <c r="D9" s="95">
        <v>5.8999999999999997E-2</v>
      </c>
      <c r="E9" s="10"/>
    </row>
    <row r="10" spans="2:5" s="2" customFormat="1" ht="15" x14ac:dyDescent="0.2">
      <c r="B10" s="22"/>
      <c r="C10" s="9" t="s">
        <v>11</v>
      </c>
      <c r="D10" s="89">
        <v>2</v>
      </c>
      <c r="E10" s="10"/>
    </row>
    <row r="11" spans="2:5" s="2" customFormat="1" ht="15" x14ac:dyDescent="0.2">
      <c r="B11" s="22"/>
      <c r="C11" s="9" t="s">
        <v>12</v>
      </c>
      <c r="D11" s="89">
        <v>100</v>
      </c>
      <c r="E11" s="10"/>
    </row>
    <row r="12" spans="2:5" s="2" customFormat="1" ht="15" x14ac:dyDescent="0.2">
      <c r="B12" s="22"/>
      <c r="C12" s="9" t="s">
        <v>13</v>
      </c>
      <c r="D12" s="89">
        <v>104</v>
      </c>
      <c r="E12" s="10"/>
    </row>
    <row r="13" spans="2:5" s="2" customFormat="1" ht="15" customHeight="1" thickBot="1" x14ac:dyDescent="0.25">
      <c r="B13" s="23"/>
      <c r="C13" s="11"/>
      <c r="D13" s="11"/>
      <c r="E13" s="12"/>
    </row>
    <row r="14" spans="2:5" s="2" customFormat="1" ht="15" x14ac:dyDescent="0.2"/>
    <row r="15" spans="2:5" s="2" customFormat="1" ht="15" x14ac:dyDescent="0.2">
      <c r="C15" s="3" t="s">
        <v>2</v>
      </c>
    </row>
    <row r="16" spans="2:5" s="2" customFormat="1" ht="15.75" thickBot="1" x14ac:dyDescent="0.25">
      <c r="C16" s="4"/>
    </row>
    <row r="17" spans="2:9" s="2" customFormat="1" ht="15" x14ac:dyDescent="0.2">
      <c r="B17" s="24"/>
      <c r="C17" s="13"/>
      <c r="D17" s="13"/>
      <c r="E17" s="25"/>
    </row>
    <row r="18" spans="2:9" s="2" customFormat="1" ht="15.75" x14ac:dyDescent="0.25">
      <c r="B18" s="19"/>
      <c r="C18" s="16" t="s">
        <v>47</v>
      </c>
      <c r="D18" s="31">
        <f>(D9*D11)/D12</f>
        <v>5.6730769230769224E-2</v>
      </c>
      <c r="E18" s="20"/>
      <c r="I18" s="214"/>
    </row>
    <row r="19" spans="2:9" s="2" customFormat="1" ht="15" x14ac:dyDescent="0.2">
      <c r="B19" s="19"/>
      <c r="C19" s="16"/>
      <c r="D19" s="16"/>
      <c r="E19" s="20"/>
    </row>
    <row r="20" spans="2:9" s="2" customFormat="1" ht="15.75" x14ac:dyDescent="0.25">
      <c r="B20" s="19"/>
      <c r="C20" s="14" t="s">
        <v>159</v>
      </c>
      <c r="D20" s="31">
        <f>YIELD(D7,D8,D9,D12,D11,D10)</f>
        <v>5.4661291072246092E-2</v>
      </c>
      <c r="E20" s="30"/>
      <c r="H20" s="214"/>
      <c r="I20" s="214"/>
    </row>
    <row r="21" spans="2:9" s="2" customFormat="1" ht="15.75" x14ac:dyDescent="0.25">
      <c r="B21" s="19"/>
      <c r="C21" s="14"/>
      <c r="D21" s="37"/>
      <c r="E21" s="30"/>
    </row>
    <row r="22" spans="2:9" s="2" customFormat="1" ht="15.75" x14ac:dyDescent="0.25">
      <c r="B22" s="19"/>
      <c r="C22" s="14" t="s">
        <v>160</v>
      </c>
      <c r="D22" s="31">
        <f>(1+D20/D10)^D10-1</f>
        <v>5.5408255257667349E-2</v>
      </c>
      <c r="E22" s="30"/>
    </row>
    <row r="23" spans="2:9" s="2" customFormat="1" ht="15" customHeight="1" thickBot="1" x14ac:dyDescent="0.25">
      <c r="B23" s="26"/>
      <c r="C23" s="27"/>
      <c r="D23" s="27"/>
      <c r="E23" s="28"/>
    </row>
    <row r="24" spans="2:9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211"/>
  <dimension ref="B1:E2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" customWidth="1"/>
    <col min="4" max="4" width="13" customWidth="1"/>
    <col min="5" max="5" width="3.140625" customWidth="1"/>
  </cols>
  <sheetData>
    <row r="1" spans="2:5" ht="18" x14ac:dyDescent="0.25">
      <c r="C1" s="1" t="s">
        <v>189</v>
      </c>
    </row>
    <row r="2" spans="2:5" ht="15" x14ac:dyDescent="0.2">
      <c r="C2" s="2" t="s">
        <v>102</v>
      </c>
    </row>
    <row r="4" spans="2:5" ht="15" x14ac:dyDescent="0.2">
      <c r="C4" s="3" t="s">
        <v>1</v>
      </c>
      <c r="D4" s="2"/>
      <c r="E4" s="2"/>
    </row>
    <row r="5" spans="2:5" s="2" customFormat="1" ht="15.75" thickBot="1" x14ac:dyDescent="0.25">
      <c r="C5" s="4"/>
      <c r="D5" s="5"/>
    </row>
    <row r="6" spans="2:5" s="2" customFormat="1" ht="15" x14ac:dyDescent="0.2">
      <c r="B6" s="21"/>
      <c r="C6" s="6"/>
      <c r="D6" s="7"/>
      <c r="E6" s="8"/>
    </row>
    <row r="7" spans="2:5" s="2" customFormat="1" ht="15" x14ac:dyDescent="0.2">
      <c r="B7" s="22"/>
      <c r="C7" s="9" t="s">
        <v>8</v>
      </c>
      <c r="D7" s="86">
        <v>36526</v>
      </c>
      <c r="E7" s="10"/>
    </row>
    <row r="8" spans="2:5" s="2" customFormat="1" ht="15" x14ac:dyDescent="0.2">
      <c r="B8" s="22"/>
      <c r="C8" s="9" t="s">
        <v>9</v>
      </c>
      <c r="D8" s="87">
        <v>43831</v>
      </c>
      <c r="E8" s="10"/>
    </row>
    <row r="9" spans="2:5" s="2" customFormat="1" ht="15" x14ac:dyDescent="0.2">
      <c r="B9" s="22"/>
      <c r="C9" s="9" t="s">
        <v>10</v>
      </c>
      <c r="D9" s="95">
        <v>5.7000000000000002E-2</v>
      </c>
      <c r="E9" s="10"/>
    </row>
    <row r="10" spans="2:5" s="2" customFormat="1" ht="15" x14ac:dyDescent="0.2">
      <c r="B10" s="22"/>
      <c r="C10" s="9" t="s">
        <v>11</v>
      </c>
      <c r="D10" s="89">
        <v>2</v>
      </c>
      <c r="E10" s="10"/>
    </row>
    <row r="11" spans="2:5" s="2" customFormat="1" ht="15" x14ac:dyDescent="0.2">
      <c r="B11" s="22"/>
      <c r="C11" s="9" t="s">
        <v>12</v>
      </c>
      <c r="D11" s="89">
        <v>100</v>
      </c>
      <c r="E11" s="10"/>
    </row>
    <row r="12" spans="2:5" s="2" customFormat="1" ht="15" x14ac:dyDescent="0.2">
      <c r="B12" s="22"/>
      <c r="C12" s="9" t="s">
        <v>13</v>
      </c>
      <c r="D12" s="94">
        <v>104.8</v>
      </c>
      <c r="E12" s="10"/>
    </row>
    <row r="13" spans="2:5" s="2" customFormat="1" ht="15" customHeight="1" thickBot="1" x14ac:dyDescent="0.25">
      <c r="B13" s="23"/>
      <c r="C13" s="11"/>
      <c r="D13" s="11"/>
      <c r="E13" s="12"/>
    </row>
    <row r="14" spans="2:5" s="2" customFormat="1" ht="15" x14ac:dyDescent="0.2"/>
    <row r="15" spans="2:5" s="2" customFormat="1" ht="15" x14ac:dyDescent="0.2">
      <c r="C15" s="3" t="s">
        <v>2</v>
      </c>
    </row>
    <row r="16" spans="2:5" s="2" customFormat="1" ht="15" customHeight="1" thickBot="1" x14ac:dyDescent="0.25">
      <c r="C16" s="4"/>
    </row>
    <row r="17" spans="2:5" s="2" customFormat="1" ht="15" x14ac:dyDescent="0.2">
      <c r="B17" s="24"/>
      <c r="C17" s="13"/>
      <c r="D17" s="13"/>
      <c r="E17" s="25"/>
    </row>
    <row r="18" spans="2:5" s="2" customFormat="1" ht="15" customHeight="1" x14ac:dyDescent="0.25">
      <c r="B18" s="19"/>
      <c r="C18" s="14" t="s">
        <v>6</v>
      </c>
      <c r="D18" s="31">
        <f>YIELD(D7,D8,D9,D12,D11,D10)</f>
        <v>5.307600823224741E-2</v>
      </c>
      <c r="E18" s="30"/>
    </row>
    <row r="19" spans="2:5" s="2" customFormat="1" ht="15" customHeight="1" thickBot="1" x14ac:dyDescent="0.25">
      <c r="B19" s="26"/>
      <c r="C19" s="27"/>
      <c r="D19" s="27"/>
      <c r="E19" s="28"/>
    </row>
    <row r="20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3"/>
  <dimension ref="B1:F2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4.5703125" customWidth="1"/>
    <col min="4" max="4" width="17.140625" customWidth="1"/>
    <col min="5" max="5" width="3.140625" customWidth="1"/>
    <col min="6" max="7" width="9.140625" customWidth="1"/>
  </cols>
  <sheetData>
    <row r="1" spans="2:6" ht="18" x14ac:dyDescent="0.25">
      <c r="C1" s="1" t="s">
        <v>189</v>
      </c>
    </row>
    <row r="2" spans="2:6" ht="15" x14ac:dyDescent="0.2">
      <c r="C2" s="2" t="s">
        <v>49</v>
      </c>
    </row>
    <row r="4" spans="2:6" ht="15" x14ac:dyDescent="0.2">
      <c r="C4" s="3" t="s">
        <v>1</v>
      </c>
      <c r="D4" s="2"/>
      <c r="E4" s="2"/>
      <c r="F4" s="2"/>
    </row>
    <row r="5" spans="2:6" s="2" customFormat="1" ht="15.75" thickBot="1" x14ac:dyDescent="0.25">
      <c r="C5" s="4"/>
      <c r="D5" s="5"/>
    </row>
    <row r="6" spans="2:6" s="2" customFormat="1" ht="15" x14ac:dyDescent="0.2">
      <c r="B6" s="21"/>
      <c r="C6" s="6"/>
      <c r="D6" s="7"/>
      <c r="E6" s="8"/>
    </row>
    <row r="7" spans="2:6" s="2" customFormat="1" ht="15" x14ac:dyDescent="0.2">
      <c r="B7" s="22"/>
      <c r="C7" s="9" t="s">
        <v>103</v>
      </c>
      <c r="D7" s="106">
        <v>943</v>
      </c>
      <c r="E7" s="10"/>
    </row>
    <row r="8" spans="2:6" s="2" customFormat="1" ht="15" x14ac:dyDescent="0.2">
      <c r="B8" s="22"/>
      <c r="C8" s="9" t="s">
        <v>5</v>
      </c>
      <c r="D8" s="95">
        <v>6.4000000000000001E-2</v>
      </c>
      <c r="E8" s="10"/>
    </row>
    <row r="9" spans="2:6" s="2" customFormat="1" ht="15" x14ac:dyDescent="0.2">
      <c r="B9" s="22"/>
      <c r="C9" s="9" t="s">
        <v>182</v>
      </c>
      <c r="D9" s="104">
        <v>2</v>
      </c>
      <c r="E9" s="10"/>
    </row>
    <row r="10" spans="2:6" s="2" customFormat="1" ht="15" x14ac:dyDescent="0.2">
      <c r="B10" s="22"/>
      <c r="C10" s="9" t="s">
        <v>85</v>
      </c>
      <c r="D10" s="107">
        <v>1000</v>
      </c>
      <c r="E10" s="10"/>
    </row>
    <row r="11" spans="2:6" s="2" customFormat="1" ht="15" customHeight="1" thickBot="1" x14ac:dyDescent="0.25">
      <c r="B11" s="23"/>
      <c r="C11" s="11"/>
      <c r="D11" s="11"/>
      <c r="E11" s="12"/>
    </row>
    <row r="12" spans="2:6" s="2" customFormat="1" ht="15" x14ac:dyDescent="0.2"/>
    <row r="13" spans="2:6" s="2" customFormat="1" ht="15" x14ac:dyDescent="0.2">
      <c r="C13" s="3" t="s">
        <v>2</v>
      </c>
    </row>
    <row r="14" spans="2:6" s="2" customFormat="1" ht="15.75" thickBot="1" x14ac:dyDescent="0.25">
      <c r="C14" s="4"/>
    </row>
    <row r="15" spans="2:6" s="2" customFormat="1" ht="15" x14ac:dyDescent="0.2">
      <c r="B15" s="24"/>
      <c r="C15" s="13"/>
      <c r="D15" s="13"/>
      <c r="E15" s="25"/>
    </row>
    <row r="16" spans="2:6" s="2" customFormat="1" ht="15" x14ac:dyDescent="0.2">
      <c r="B16" s="19"/>
      <c r="C16" s="14" t="s">
        <v>100</v>
      </c>
      <c r="D16" s="40">
        <f>(D8*D10/2)*((6-D9)/6)</f>
        <v>21.333333333333332</v>
      </c>
      <c r="E16" s="20"/>
    </row>
    <row r="17" spans="2:5" s="2" customFormat="1" ht="15" x14ac:dyDescent="0.2">
      <c r="B17" s="19"/>
      <c r="C17" s="16"/>
      <c r="D17" s="18"/>
      <c r="E17" s="20"/>
    </row>
    <row r="18" spans="2:5" s="2" customFormat="1" ht="15.75" x14ac:dyDescent="0.25">
      <c r="B18" s="19"/>
      <c r="C18" s="16" t="s">
        <v>101</v>
      </c>
      <c r="D18" s="41">
        <f>D7-D16</f>
        <v>921.66666666666663</v>
      </c>
      <c r="E18" s="20"/>
    </row>
    <row r="19" spans="2:5" s="2" customFormat="1" ht="15" customHeight="1" thickBot="1" x14ac:dyDescent="0.25">
      <c r="B19" s="26"/>
      <c r="C19" s="27"/>
      <c r="D19" s="27"/>
      <c r="E19" s="28"/>
    </row>
    <row r="20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4"/>
  <dimension ref="B1:F2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4.5703125" customWidth="1"/>
    <col min="4" max="4" width="17.140625" customWidth="1"/>
    <col min="5" max="5" width="3.140625" customWidth="1"/>
    <col min="6" max="7" width="9.140625" customWidth="1"/>
  </cols>
  <sheetData>
    <row r="1" spans="2:6" ht="18" x14ac:dyDescent="0.25">
      <c r="C1" s="1" t="s">
        <v>189</v>
      </c>
    </row>
    <row r="2" spans="2:6" ht="15" x14ac:dyDescent="0.2">
      <c r="C2" s="2" t="s">
        <v>53</v>
      </c>
    </row>
    <row r="4" spans="2:6" ht="15" x14ac:dyDescent="0.2">
      <c r="C4" s="3" t="s">
        <v>1</v>
      </c>
      <c r="D4" s="2"/>
      <c r="E4" s="2"/>
      <c r="F4" s="2"/>
    </row>
    <row r="5" spans="2:6" s="2" customFormat="1" ht="15.75" thickBot="1" x14ac:dyDescent="0.25">
      <c r="C5" s="4"/>
      <c r="D5" s="5"/>
    </row>
    <row r="6" spans="2:6" s="2" customFormat="1" ht="15" x14ac:dyDescent="0.2">
      <c r="B6" s="21"/>
      <c r="C6" s="6"/>
      <c r="D6" s="7"/>
      <c r="E6" s="8"/>
    </row>
    <row r="7" spans="2:6" s="2" customFormat="1" ht="15" x14ac:dyDescent="0.2">
      <c r="B7" s="22"/>
      <c r="C7" s="9" t="s">
        <v>101</v>
      </c>
      <c r="D7" s="106">
        <v>992</v>
      </c>
      <c r="E7" s="10"/>
    </row>
    <row r="8" spans="2:6" s="2" customFormat="1" ht="15" x14ac:dyDescent="0.2">
      <c r="B8" s="22"/>
      <c r="C8" s="9" t="s">
        <v>5</v>
      </c>
      <c r="D8" s="95">
        <v>7.0999999999999994E-2</v>
      </c>
      <c r="E8" s="10"/>
    </row>
    <row r="9" spans="2:6" s="2" customFormat="1" ht="15" x14ac:dyDescent="0.2">
      <c r="B9" s="22"/>
      <c r="C9" s="9" t="s">
        <v>99</v>
      </c>
      <c r="D9" s="104">
        <v>4</v>
      </c>
      <c r="E9" s="10"/>
    </row>
    <row r="10" spans="2:6" s="2" customFormat="1" ht="15" x14ac:dyDescent="0.2">
      <c r="B10" s="22"/>
      <c r="C10" s="9" t="s">
        <v>85</v>
      </c>
      <c r="D10" s="107">
        <v>1000</v>
      </c>
      <c r="E10" s="10"/>
    </row>
    <row r="11" spans="2:6" s="2" customFormat="1" ht="15" customHeight="1" thickBot="1" x14ac:dyDescent="0.25">
      <c r="B11" s="23"/>
      <c r="C11" s="11"/>
      <c r="D11" s="11"/>
      <c r="E11" s="12"/>
    </row>
    <row r="12" spans="2:6" s="2" customFormat="1" ht="15" x14ac:dyDescent="0.2"/>
    <row r="13" spans="2:6" s="2" customFormat="1" ht="15" x14ac:dyDescent="0.2">
      <c r="C13" s="3" t="s">
        <v>2</v>
      </c>
    </row>
    <row r="14" spans="2:6" s="2" customFormat="1" ht="15.75" thickBot="1" x14ac:dyDescent="0.25">
      <c r="C14" s="4"/>
    </row>
    <row r="15" spans="2:6" s="2" customFormat="1" ht="15" x14ac:dyDescent="0.2">
      <c r="B15" s="24"/>
      <c r="C15" s="13"/>
      <c r="D15" s="13"/>
      <c r="E15" s="25"/>
    </row>
    <row r="16" spans="2:6" s="2" customFormat="1" ht="15" x14ac:dyDescent="0.2">
      <c r="B16" s="19"/>
      <c r="C16" s="14" t="s">
        <v>100</v>
      </c>
      <c r="D16" s="40">
        <f>(6-D9)/6*(D8*D10/2)</f>
        <v>11.833333333333332</v>
      </c>
      <c r="E16" s="20"/>
    </row>
    <row r="17" spans="2:5" s="2" customFormat="1" ht="15" x14ac:dyDescent="0.2">
      <c r="B17" s="19"/>
      <c r="C17" s="16"/>
      <c r="D17" s="18"/>
      <c r="E17" s="20"/>
    </row>
    <row r="18" spans="2:5" s="2" customFormat="1" ht="15.75" x14ac:dyDescent="0.25">
      <c r="B18" s="19"/>
      <c r="C18" s="16" t="s">
        <v>104</v>
      </c>
      <c r="D18" s="41">
        <f>D7+D16</f>
        <v>1003.8333333333334</v>
      </c>
      <c r="E18" s="20"/>
    </row>
    <row r="19" spans="2:5" s="2" customFormat="1" ht="15" customHeight="1" thickBot="1" x14ac:dyDescent="0.25">
      <c r="B19" s="26"/>
      <c r="C19" s="27"/>
      <c r="D19" s="27"/>
      <c r="E19" s="28"/>
    </row>
    <row r="20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2111"/>
  <dimension ref="B1:E2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" customWidth="1"/>
    <col min="4" max="4" width="13.42578125" customWidth="1"/>
    <col min="5" max="5" width="3.140625" customWidth="1"/>
  </cols>
  <sheetData>
    <row r="1" spans="2:5" ht="18" x14ac:dyDescent="0.25">
      <c r="C1" s="1" t="s">
        <v>189</v>
      </c>
    </row>
    <row r="2" spans="2:5" ht="15" x14ac:dyDescent="0.2">
      <c r="C2" s="2" t="s">
        <v>55</v>
      </c>
    </row>
    <row r="4" spans="2:5" ht="15" x14ac:dyDescent="0.2">
      <c r="C4" s="3" t="s">
        <v>1</v>
      </c>
      <c r="D4" s="2"/>
      <c r="E4" s="2"/>
    </row>
    <row r="5" spans="2:5" s="2" customFormat="1" ht="15.75" thickBot="1" x14ac:dyDescent="0.25">
      <c r="C5" s="4"/>
      <c r="D5" s="5"/>
    </row>
    <row r="6" spans="2:5" s="2" customFormat="1" ht="15" x14ac:dyDescent="0.2">
      <c r="B6" s="21"/>
      <c r="C6" s="6"/>
      <c r="D6" s="7"/>
      <c r="E6" s="8"/>
    </row>
    <row r="7" spans="2:5" s="2" customFormat="1" ht="15" x14ac:dyDescent="0.2">
      <c r="B7" s="22"/>
      <c r="C7" s="9" t="s">
        <v>10</v>
      </c>
      <c r="D7" s="92">
        <v>0.09</v>
      </c>
      <c r="E7" s="10"/>
    </row>
    <row r="8" spans="2:5" s="2" customFormat="1" ht="15" x14ac:dyDescent="0.2">
      <c r="B8" s="22"/>
      <c r="C8" s="9" t="s">
        <v>11</v>
      </c>
      <c r="D8" s="89">
        <v>1</v>
      </c>
      <c r="E8" s="10"/>
    </row>
    <row r="9" spans="2:5" s="2" customFormat="1" ht="15" x14ac:dyDescent="0.2">
      <c r="B9" s="22"/>
      <c r="C9" s="9" t="s">
        <v>6</v>
      </c>
      <c r="D9" s="92">
        <v>7.8100000000000003E-2</v>
      </c>
      <c r="E9" s="10"/>
    </row>
    <row r="10" spans="2:5" s="2" customFormat="1" ht="15" x14ac:dyDescent="0.2">
      <c r="B10" s="22"/>
      <c r="C10" s="9" t="s">
        <v>47</v>
      </c>
      <c r="D10" s="92">
        <v>8.4199999999999997E-2</v>
      </c>
      <c r="E10" s="10"/>
    </row>
    <row r="11" spans="2:5" s="2" customFormat="1" ht="15" x14ac:dyDescent="0.2">
      <c r="B11" s="22"/>
      <c r="C11" s="9" t="s">
        <v>15</v>
      </c>
      <c r="D11" s="107">
        <v>1000</v>
      </c>
      <c r="E11" s="10"/>
    </row>
    <row r="12" spans="2:5" s="2" customFormat="1" ht="15" customHeight="1" thickBot="1" x14ac:dyDescent="0.25">
      <c r="B12" s="23"/>
      <c r="C12" s="11"/>
      <c r="D12" s="11"/>
      <c r="E12" s="12"/>
    </row>
    <row r="13" spans="2:5" s="2" customFormat="1" ht="15" x14ac:dyDescent="0.2"/>
    <row r="14" spans="2:5" s="2" customFormat="1" ht="15" x14ac:dyDescent="0.2">
      <c r="C14" s="3" t="s">
        <v>2</v>
      </c>
    </row>
    <row r="15" spans="2:5" s="2" customFormat="1" ht="15" customHeight="1" thickBot="1" x14ac:dyDescent="0.25">
      <c r="C15" s="4"/>
    </row>
    <row r="16" spans="2:5" s="2" customFormat="1" ht="15" x14ac:dyDescent="0.2">
      <c r="B16" s="24"/>
      <c r="C16" s="13"/>
      <c r="D16" s="13"/>
      <c r="E16" s="25"/>
    </row>
    <row r="17" spans="2:5" s="2" customFormat="1" ht="15" x14ac:dyDescent="0.2">
      <c r="B17" s="19"/>
      <c r="C17" s="16" t="s">
        <v>161</v>
      </c>
      <c r="D17" s="38">
        <f>(D11*D7)/D10</f>
        <v>1068.8836104513064</v>
      </c>
      <c r="E17" s="20"/>
    </row>
    <row r="18" spans="2:5" s="2" customFormat="1" ht="15" x14ac:dyDescent="0.2">
      <c r="B18" s="19"/>
      <c r="C18" s="16"/>
      <c r="D18" s="16"/>
      <c r="E18" s="20"/>
    </row>
    <row r="19" spans="2:5" s="2" customFormat="1" ht="15" customHeight="1" x14ac:dyDescent="0.25">
      <c r="B19" s="19"/>
      <c r="C19" s="14" t="s">
        <v>162</v>
      </c>
      <c r="D19" s="277">
        <f>LN(((D7*D11)/D9-D11)/((D7*D11)/D9-D17))/LN(1+D9)</f>
        <v>8.0004390857797461</v>
      </c>
      <c r="E19" s="30"/>
    </row>
    <row r="20" spans="2:5" s="2" customFormat="1" ht="15" customHeight="1" thickBot="1" x14ac:dyDescent="0.25">
      <c r="B20" s="26"/>
      <c r="C20" s="27"/>
      <c r="D20" s="27"/>
      <c r="E20" s="28"/>
    </row>
    <row r="21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2111112"/>
  <dimension ref="B1:H22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6.42578125" bestFit="1" customWidth="1"/>
    <col min="4" max="4" width="15.7109375" customWidth="1"/>
    <col min="5" max="5" width="3.140625" customWidth="1"/>
    <col min="8" max="8" width="9.5703125" bestFit="1" customWidth="1"/>
  </cols>
  <sheetData>
    <row r="1" spans="2:5" ht="18" x14ac:dyDescent="0.25">
      <c r="C1" s="1" t="s">
        <v>189</v>
      </c>
    </row>
    <row r="2" spans="2:5" ht="15" x14ac:dyDescent="0.2">
      <c r="C2" s="2" t="s">
        <v>56</v>
      </c>
    </row>
    <row r="4" spans="2:5" ht="15" x14ac:dyDescent="0.2">
      <c r="C4" s="3" t="s">
        <v>1</v>
      </c>
      <c r="D4" s="2"/>
      <c r="E4" s="2"/>
    </row>
    <row r="5" spans="2:5" s="2" customFormat="1" ht="15.75" thickBot="1" x14ac:dyDescent="0.25">
      <c r="C5" s="4"/>
      <c r="D5" s="5"/>
    </row>
    <row r="6" spans="2:5" s="2" customFormat="1" ht="15" x14ac:dyDescent="0.2">
      <c r="B6" s="21"/>
      <c r="C6" s="6"/>
      <c r="D6" s="7"/>
      <c r="E6" s="8"/>
    </row>
    <row r="7" spans="2:5" s="2" customFormat="1" ht="15" x14ac:dyDescent="0.2">
      <c r="B7" s="22"/>
      <c r="C7" s="9" t="s">
        <v>5</v>
      </c>
      <c r="D7" s="96">
        <v>7.2400000000000006E-2</v>
      </c>
      <c r="E7" s="10"/>
    </row>
    <row r="8" spans="2:5" s="2" customFormat="1" ht="15" x14ac:dyDescent="0.2">
      <c r="B8" s="22"/>
      <c r="C8" s="9" t="s">
        <v>95</v>
      </c>
      <c r="D8" s="87">
        <v>43570</v>
      </c>
      <c r="E8" s="10"/>
    </row>
    <row r="9" spans="2:5" s="2" customFormat="1" ht="15" x14ac:dyDescent="0.2">
      <c r="B9" s="22"/>
      <c r="C9" s="9" t="s">
        <v>96</v>
      </c>
      <c r="D9" s="103">
        <v>47953</v>
      </c>
      <c r="E9" s="10"/>
    </row>
    <row r="10" spans="2:5" s="2" customFormat="1" ht="15" x14ac:dyDescent="0.2">
      <c r="B10" s="22"/>
      <c r="C10" s="9" t="s">
        <v>97</v>
      </c>
      <c r="D10" s="135">
        <v>96.412000000000006</v>
      </c>
      <c r="E10" s="10"/>
    </row>
    <row r="11" spans="2:5" s="2" customFormat="1" ht="15" x14ac:dyDescent="0.2">
      <c r="B11" s="22"/>
      <c r="C11" s="9" t="s">
        <v>12</v>
      </c>
      <c r="D11" s="104">
        <v>100</v>
      </c>
      <c r="E11" s="10"/>
    </row>
    <row r="12" spans="2:5" s="2" customFormat="1" ht="15" customHeight="1" thickBot="1" x14ac:dyDescent="0.25">
      <c r="B12" s="23"/>
      <c r="C12" s="11"/>
      <c r="D12" s="11"/>
      <c r="E12" s="12"/>
    </row>
    <row r="13" spans="2:5" s="2" customFormat="1" ht="15" x14ac:dyDescent="0.2"/>
    <row r="14" spans="2:5" s="2" customFormat="1" ht="15" x14ac:dyDescent="0.2">
      <c r="C14" s="3" t="s">
        <v>2</v>
      </c>
    </row>
    <row r="15" spans="2:5" s="2" customFormat="1" ht="15.75" thickBot="1" x14ac:dyDescent="0.25">
      <c r="C15" s="4"/>
    </row>
    <row r="16" spans="2:5" s="2" customFormat="1" ht="15" x14ac:dyDescent="0.2">
      <c r="B16" s="24"/>
      <c r="C16" s="13"/>
      <c r="D16" s="13"/>
      <c r="E16" s="25"/>
    </row>
    <row r="17" spans="2:8" s="2" customFormat="1" ht="15.75" x14ac:dyDescent="0.25">
      <c r="B17" s="19"/>
      <c r="C17" s="14" t="s">
        <v>6</v>
      </c>
      <c r="D17" s="105">
        <f>YIELD(D8,D9,D7,D10,D11,2)</f>
        <v>7.7035354991595167E-2</v>
      </c>
      <c r="E17" s="30"/>
      <c r="H17" s="214"/>
    </row>
    <row r="18" spans="2:8" s="2" customFormat="1" ht="15" x14ac:dyDescent="0.2">
      <c r="B18" s="19"/>
      <c r="C18" s="14"/>
      <c r="D18" s="102"/>
      <c r="E18" s="30"/>
    </row>
    <row r="19" spans="2:8" s="2" customFormat="1" ht="15.75" x14ac:dyDescent="0.25">
      <c r="B19" s="19"/>
      <c r="C19" s="14" t="s">
        <v>48</v>
      </c>
      <c r="D19" s="105">
        <f>(D7*D11)/D10</f>
        <v>7.5094386590880802E-2</v>
      </c>
      <c r="E19" s="30"/>
    </row>
    <row r="20" spans="2:8" s="2" customFormat="1" ht="15" customHeight="1" thickBot="1" x14ac:dyDescent="0.25">
      <c r="B20" s="26"/>
      <c r="C20" s="27"/>
      <c r="D20" s="27"/>
      <c r="E20" s="28"/>
    </row>
    <row r="21" spans="2:8" s="2" customFormat="1" ht="15" x14ac:dyDescent="0.2"/>
    <row r="22" spans="2:8" ht="15" customHeight="1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"/>
  <dimension ref="B1:I16"/>
  <sheetViews>
    <sheetView workbookViewId="0">
      <selection activeCell="C3" sqref="C3"/>
    </sheetView>
  </sheetViews>
  <sheetFormatPr defaultRowHeight="12.75" x14ac:dyDescent="0.2"/>
  <cols>
    <col min="2" max="2" width="3.140625" customWidth="1"/>
    <col min="3" max="3" width="22.7109375" customWidth="1"/>
    <col min="4" max="4" width="14.28515625" customWidth="1"/>
    <col min="5" max="5" width="3.140625" customWidth="1"/>
    <col min="7" max="7" width="10.140625" customWidth="1"/>
    <col min="8" max="8" width="11.5703125" customWidth="1"/>
    <col min="9" max="9" width="3.140625" customWidth="1"/>
  </cols>
  <sheetData>
    <row r="1" spans="2:9" ht="18" x14ac:dyDescent="0.25">
      <c r="C1" s="1" t="s">
        <v>189</v>
      </c>
      <c r="D1" s="1"/>
    </row>
    <row r="2" spans="2:9" ht="15" x14ac:dyDescent="0.2">
      <c r="C2" s="2" t="s">
        <v>59</v>
      </c>
      <c r="D2" s="2"/>
    </row>
    <row r="3" spans="2:9" ht="15" x14ac:dyDescent="0.2">
      <c r="C3" s="2"/>
      <c r="D3" s="2"/>
    </row>
    <row r="4" spans="2:9" ht="15" x14ac:dyDescent="0.2">
      <c r="C4" s="3" t="s">
        <v>2</v>
      </c>
      <c r="D4" s="3"/>
    </row>
    <row r="5" spans="2:9" ht="15.75" thickBot="1" x14ac:dyDescent="0.25">
      <c r="C5" s="3"/>
      <c r="D5" s="3"/>
    </row>
    <row r="6" spans="2:9" ht="15" x14ac:dyDescent="0.2">
      <c r="B6" s="56"/>
      <c r="C6" s="6"/>
      <c r="D6" s="6"/>
      <c r="E6" s="57"/>
    </row>
    <row r="7" spans="2:9" ht="15" x14ac:dyDescent="0.2">
      <c r="B7" s="42"/>
      <c r="C7" s="9" t="s">
        <v>5</v>
      </c>
      <c r="D7" s="91">
        <v>0.1</v>
      </c>
      <c r="E7" s="43"/>
    </row>
    <row r="8" spans="2:9" ht="15" customHeight="1" thickBot="1" x14ac:dyDescent="0.25">
      <c r="B8" s="58"/>
      <c r="C8" s="59"/>
      <c r="D8" s="59"/>
      <c r="E8" s="60"/>
    </row>
    <row r="10" spans="2:9" s="2" customFormat="1" ht="15" x14ac:dyDescent="0.2">
      <c r="C10" s="3" t="s">
        <v>2</v>
      </c>
      <c r="D10" s="3"/>
    </row>
    <row r="11" spans="2:9" s="2" customFormat="1" ht="15.75" thickBot="1" x14ac:dyDescent="0.25">
      <c r="C11" s="4"/>
      <c r="D11" s="4"/>
    </row>
    <row r="12" spans="2:9" s="2" customFormat="1" ht="15" x14ac:dyDescent="0.2">
      <c r="B12" s="24"/>
      <c r="C12" s="13"/>
      <c r="D12" s="13"/>
      <c r="E12" s="13"/>
      <c r="F12" s="13"/>
      <c r="G12" s="13"/>
      <c r="H12" s="13"/>
      <c r="I12" s="25"/>
    </row>
    <row r="13" spans="2:9" s="2" customFormat="1" ht="15" x14ac:dyDescent="0.2">
      <c r="B13" s="19"/>
      <c r="C13" s="14" t="s">
        <v>57</v>
      </c>
      <c r="D13" s="14"/>
      <c r="E13" s="15"/>
      <c r="F13" s="15"/>
      <c r="G13" s="16"/>
      <c r="H13" s="17"/>
      <c r="I13" s="20"/>
    </row>
    <row r="14" spans="2:9" s="2" customFormat="1" ht="15" x14ac:dyDescent="0.2">
      <c r="B14" s="19"/>
      <c r="C14" s="16" t="s">
        <v>58</v>
      </c>
      <c r="D14" s="16"/>
      <c r="E14" s="18"/>
      <c r="F14" s="18"/>
      <c r="G14" s="16"/>
      <c r="H14" s="16"/>
      <c r="I14" s="20"/>
    </row>
    <row r="15" spans="2:9" s="2" customFormat="1" ht="15" customHeight="1" thickBot="1" x14ac:dyDescent="0.25">
      <c r="B15" s="26"/>
      <c r="C15" s="27"/>
      <c r="D15" s="27"/>
      <c r="E15" s="27"/>
      <c r="F15" s="27"/>
      <c r="G15" s="27"/>
      <c r="H15" s="27"/>
      <c r="I15" s="28"/>
    </row>
    <row r="16" spans="2:9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4"/>
  <sheetViews>
    <sheetView workbookViewId="0">
      <selection activeCell="C1" sqref="C1"/>
    </sheetView>
  </sheetViews>
  <sheetFormatPr defaultRowHeight="12.75" x14ac:dyDescent="0.2"/>
  <cols>
    <col min="1" max="1" width="9.140625" style="141"/>
    <col min="2" max="2" width="3.140625" style="141" customWidth="1"/>
    <col min="3" max="3" width="31" style="141" customWidth="1"/>
    <col min="4" max="4" width="16.5703125" style="141" customWidth="1"/>
    <col min="5" max="5" width="3.140625" style="141" customWidth="1"/>
    <col min="6" max="16384" width="9.140625" style="141"/>
  </cols>
  <sheetData>
    <row r="1" spans="2:5" ht="18" x14ac:dyDescent="0.25">
      <c r="C1" s="169" t="s">
        <v>189</v>
      </c>
    </row>
    <row r="2" spans="2:5" ht="15" x14ac:dyDescent="0.2">
      <c r="C2" s="142" t="s">
        <v>68</v>
      </c>
    </row>
    <row r="4" spans="2:5" ht="15" x14ac:dyDescent="0.2">
      <c r="C4" s="157" t="s">
        <v>1</v>
      </c>
      <c r="D4" s="142"/>
      <c r="E4" s="142"/>
    </row>
    <row r="5" spans="2:5" s="142" customFormat="1" ht="15.75" thickBot="1" x14ac:dyDescent="0.25">
      <c r="C5" s="156"/>
      <c r="D5" s="168"/>
    </row>
    <row r="6" spans="2:5" s="142" customFormat="1" ht="15" x14ac:dyDescent="0.2">
      <c r="B6" s="167"/>
      <c r="C6" s="166"/>
      <c r="D6" s="165"/>
      <c r="E6" s="164"/>
    </row>
    <row r="7" spans="2:5" s="142" customFormat="1" ht="15" x14ac:dyDescent="0.2">
      <c r="B7" s="163"/>
      <c r="C7" s="162" t="s">
        <v>54</v>
      </c>
      <c r="D7" s="97">
        <v>25</v>
      </c>
      <c r="E7" s="161"/>
    </row>
    <row r="8" spans="2:5" s="142" customFormat="1" ht="15" x14ac:dyDescent="0.2">
      <c r="B8" s="163"/>
      <c r="C8" s="162" t="s">
        <v>204</v>
      </c>
      <c r="D8" s="95">
        <v>5.8999999999999997E-2</v>
      </c>
      <c r="E8" s="161"/>
    </row>
    <row r="9" spans="2:5" s="142" customFormat="1" ht="15" x14ac:dyDescent="0.2">
      <c r="B9" s="163"/>
      <c r="C9" s="162" t="s">
        <v>15</v>
      </c>
      <c r="D9" s="90">
        <v>1000</v>
      </c>
      <c r="E9" s="161"/>
    </row>
    <row r="10" spans="2:5" s="142" customFormat="1" ht="15" customHeight="1" thickBot="1" x14ac:dyDescent="0.25">
      <c r="B10" s="160"/>
      <c r="C10" s="159"/>
      <c r="D10" s="159"/>
      <c r="E10" s="158"/>
    </row>
    <row r="11" spans="2:5" s="142" customFormat="1" ht="15" x14ac:dyDescent="0.2"/>
    <row r="12" spans="2:5" s="142" customFormat="1" ht="15" x14ac:dyDescent="0.2">
      <c r="C12" s="157" t="s">
        <v>2</v>
      </c>
    </row>
    <row r="13" spans="2:5" s="142" customFormat="1" ht="15.75" thickBot="1" x14ac:dyDescent="0.25">
      <c r="C13" s="156"/>
    </row>
    <row r="14" spans="2:5" s="142" customFormat="1" ht="15" x14ac:dyDescent="0.2">
      <c r="B14" s="155"/>
      <c r="C14" s="154"/>
      <c r="D14" s="154"/>
      <c r="E14" s="153"/>
    </row>
    <row r="15" spans="2:5" s="142" customFormat="1" ht="15.75" x14ac:dyDescent="0.25">
      <c r="B15" s="149" t="s">
        <v>50</v>
      </c>
      <c r="C15" s="150" t="s">
        <v>203</v>
      </c>
      <c r="D15" s="41">
        <f>PV(D8/2,D7*2,,-D9)</f>
        <v>233.71277512777581</v>
      </c>
      <c r="E15" s="30"/>
    </row>
    <row r="16" spans="2:5" s="142" customFormat="1" ht="15" x14ac:dyDescent="0.2">
      <c r="B16" s="149"/>
      <c r="C16" s="150"/>
      <c r="D16" s="40"/>
      <c r="E16" s="30"/>
    </row>
    <row r="17" spans="2:5" s="142" customFormat="1" ht="15" x14ac:dyDescent="0.2">
      <c r="B17" s="149" t="s">
        <v>51</v>
      </c>
      <c r="C17" s="150" t="s">
        <v>202</v>
      </c>
      <c r="D17" s="40">
        <f>PV(D8/2,(D7-1)*2,,-D9)</f>
        <v>247.70521740286958</v>
      </c>
      <c r="E17" s="30"/>
    </row>
    <row r="18" spans="2:5" s="142" customFormat="1" ht="15" x14ac:dyDescent="0.2">
      <c r="B18" s="149"/>
      <c r="C18" s="150"/>
      <c r="D18" s="40"/>
      <c r="E18" s="30"/>
    </row>
    <row r="19" spans="2:5" s="142" customFormat="1" ht="15.75" x14ac:dyDescent="0.25">
      <c r="B19" s="149"/>
      <c r="C19" s="150" t="s">
        <v>201</v>
      </c>
      <c r="D19" s="41">
        <f>D17-D15</f>
        <v>13.992442275093765</v>
      </c>
      <c r="E19" s="30"/>
    </row>
    <row r="20" spans="2:5" s="142" customFormat="1" ht="15.75" x14ac:dyDescent="0.25">
      <c r="B20" s="149"/>
      <c r="C20" s="150"/>
      <c r="D20" s="151"/>
      <c r="E20" s="30"/>
    </row>
    <row r="21" spans="2:5" s="142" customFormat="1" ht="15" x14ac:dyDescent="0.2">
      <c r="B21" s="149"/>
      <c r="C21" s="150" t="s">
        <v>200</v>
      </c>
      <c r="D21" s="152">
        <f>PV(D8/2,2,,-D9)</f>
        <v>943.51171758995963</v>
      </c>
      <c r="E21" s="30"/>
    </row>
    <row r="22" spans="2:5" s="142" customFormat="1" ht="15.75" x14ac:dyDescent="0.25">
      <c r="B22" s="149"/>
      <c r="C22" s="150"/>
      <c r="D22" s="151"/>
      <c r="E22" s="30"/>
    </row>
    <row r="23" spans="2:5" s="142" customFormat="1" ht="15.75" x14ac:dyDescent="0.25">
      <c r="B23" s="149"/>
      <c r="C23" s="150" t="s">
        <v>199</v>
      </c>
      <c r="D23" s="41">
        <f>D9-D21</f>
        <v>56.48828241004037</v>
      </c>
      <c r="E23" s="30"/>
    </row>
    <row r="24" spans="2:5" s="142" customFormat="1" ht="15.75" x14ac:dyDescent="0.25">
      <c r="B24" s="149"/>
      <c r="C24" s="150"/>
      <c r="D24" s="32"/>
      <c r="E24" s="30"/>
    </row>
    <row r="25" spans="2:5" s="142" customFormat="1" ht="15" x14ac:dyDescent="0.2">
      <c r="B25" s="149" t="s">
        <v>52</v>
      </c>
      <c r="C25" s="150" t="s">
        <v>198</v>
      </c>
      <c r="D25" s="38">
        <f>D9-D15</f>
        <v>766.28722487222421</v>
      </c>
      <c r="E25" s="30"/>
    </row>
    <row r="26" spans="2:5" s="142" customFormat="1" ht="15.75" x14ac:dyDescent="0.25">
      <c r="B26" s="149"/>
      <c r="C26" s="150"/>
      <c r="D26" s="32"/>
      <c r="E26" s="30"/>
    </row>
    <row r="27" spans="2:5" s="142" customFormat="1" ht="15.75" x14ac:dyDescent="0.25">
      <c r="B27" s="149"/>
      <c r="C27" s="148" t="s">
        <v>197</v>
      </c>
      <c r="D27" s="29">
        <f>D25/D7</f>
        <v>30.651488994888968</v>
      </c>
      <c r="E27" s="146"/>
    </row>
    <row r="28" spans="2:5" s="142" customFormat="1" ht="15.75" x14ac:dyDescent="0.25">
      <c r="B28" s="149"/>
      <c r="C28" s="148"/>
      <c r="D28" s="147"/>
      <c r="E28" s="146"/>
    </row>
    <row r="29" spans="2:5" s="142" customFormat="1" ht="15.75" x14ac:dyDescent="0.25">
      <c r="B29" s="149" t="s">
        <v>196</v>
      </c>
      <c r="C29" s="148" t="s">
        <v>195</v>
      </c>
      <c r="D29" s="147"/>
      <c r="E29" s="146"/>
    </row>
    <row r="30" spans="2:5" s="142" customFormat="1" ht="15.75" x14ac:dyDescent="0.25">
      <c r="B30" s="149"/>
      <c r="C30" s="148" t="s">
        <v>194</v>
      </c>
      <c r="D30" s="147"/>
      <c r="E30" s="146"/>
    </row>
    <row r="31" spans="2:5" s="142" customFormat="1" ht="15.75" x14ac:dyDescent="0.25">
      <c r="B31" s="149"/>
      <c r="C31" s="148" t="s">
        <v>193</v>
      </c>
      <c r="D31" s="147"/>
      <c r="E31" s="146"/>
    </row>
    <row r="32" spans="2:5" s="142" customFormat="1" ht="15.75" x14ac:dyDescent="0.25">
      <c r="B32" s="149"/>
      <c r="C32" s="148" t="s">
        <v>192</v>
      </c>
      <c r="D32" s="147"/>
      <c r="E32" s="146"/>
    </row>
    <row r="33" spans="2:5" s="142" customFormat="1" ht="15" customHeight="1" thickBot="1" x14ac:dyDescent="0.25">
      <c r="B33" s="145"/>
      <c r="C33" s="144"/>
      <c r="D33" s="144"/>
      <c r="E33" s="143"/>
    </row>
    <row r="34" spans="2:5" s="142" customFormat="1" ht="15" x14ac:dyDescent="0.2"/>
  </sheetData>
  <pageMargins left="0.75" right="0.75" top="1" bottom="1" header="0.5" footer="0.5"/>
  <pageSetup orientation="portrait" horizont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workbookViewId="0">
      <selection activeCell="C2" sqref="C2"/>
    </sheetView>
  </sheetViews>
  <sheetFormatPr defaultRowHeight="12.75" x14ac:dyDescent="0.2"/>
  <cols>
    <col min="1" max="1" width="9.140625" style="141"/>
    <col min="2" max="2" width="3.140625" style="141" customWidth="1"/>
    <col min="3" max="3" width="31" style="141" customWidth="1"/>
    <col min="4" max="4" width="18.28515625" style="141" customWidth="1"/>
    <col min="5" max="5" width="3.140625" style="141" customWidth="1"/>
    <col min="6" max="6" width="17" style="141" customWidth="1"/>
    <col min="7" max="7" width="3.140625" style="141" customWidth="1"/>
    <col min="8" max="16384" width="9.140625" style="141"/>
  </cols>
  <sheetData>
    <row r="1" spans="2:7" ht="18" x14ac:dyDescent="0.25">
      <c r="C1" s="169" t="s">
        <v>189</v>
      </c>
    </row>
    <row r="2" spans="2:7" ht="15" x14ac:dyDescent="0.2">
      <c r="C2" s="142" t="s">
        <v>77</v>
      </c>
    </row>
    <row r="4" spans="2:7" ht="15" x14ac:dyDescent="0.2">
      <c r="C4" s="157" t="s">
        <v>1</v>
      </c>
      <c r="D4" s="142"/>
      <c r="E4" s="142"/>
      <c r="F4" s="142"/>
      <c r="G4" s="142"/>
    </row>
    <row r="5" spans="2:7" s="142" customFormat="1" ht="15.75" thickBot="1" x14ac:dyDescent="0.25">
      <c r="C5" s="156"/>
      <c r="D5" s="168"/>
      <c r="E5" s="168"/>
      <c r="F5" s="168"/>
    </row>
    <row r="6" spans="2:7" s="142" customFormat="1" ht="15" x14ac:dyDescent="0.2">
      <c r="B6" s="167"/>
      <c r="C6" s="166"/>
      <c r="D6" s="165"/>
      <c r="E6" s="164"/>
      <c r="F6" s="180"/>
      <c r="G6" s="180"/>
    </row>
    <row r="7" spans="2:7" s="142" customFormat="1" ht="15" x14ac:dyDescent="0.2">
      <c r="B7" s="163"/>
      <c r="C7" s="162" t="s">
        <v>54</v>
      </c>
      <c r="D7" s="97">
        <v>30</v>
      </c>
      <c r="E7" s="46"/>
      <c r="F7" s="180"/>
      <c r="G7" s="180"/>
    </row>
    <row r="8" spans="2:7" s="142" customFormat="1" ht="15" x14ac:dyDescent="0.2">
      <c r="B8" s="163"/>
      <c r="C8" s="162" t="s">
        <v>204</v>
      </c>
      <c r="D8" s="91">
        <v>7.0000000000000007E-2</v>
      </c>
      <c r="E8" s="47"/>
      <c r="F8" s="180"/>
      <c r="G8" s="180"/>
    </row>
    <row r="9" spans="2:7" s="142" customFormat="1" ht="15" x14ac:dyDescent="0.2">
      <c r="B9" s="163"/>
      <c r="C9" s="162" t="s">
        <v>219</v>
      </c>
      <c r="D9" s="90">
        <v>50000000</v>
      </c>
      <c r="E9" s="48"/>
      <c r="F9" s="180"/>
      <c r="G9" s="180"/>
    </row>
    <row r="10" spans="2:7" s="142" customFormat="1" ht="15" x14ac:dyDescent="0.2">
      <c r="B10" s="163"/>
      <c r="C10" s="162" t="s">
        <v>15</v>
      </c>
      <c r="D10" s="107">
        <v>1000</v>
      </c>
      <c r="E10" s="49"/>
      <c r="F10" s="180"/>
      <c r="G10" s="180"/>
    </row>
    <row r="11" spans="2:7" s="142" customFormat="1" ht="15" x14ac:dyDescent="0.2">
      <c r="B11" s="163"/>
      <c r="C11" s="162"/>
      <c r="D11" s="89"/>
      <c r="E11" s="49"/>
      <c r="F11" s="180"/>
      <c r="G11" s="180"/>
    </row>
    <row r="12" spans="2:7" s="142" customFormat="1" ht="15" x14ac:dyDescent="0.2">
      <c r="B12" s="163"/>
      <c r="C12" s="162" t="s">
        <v>5</v>
      </c>
      <c r="D12" s="213">
        <f>D8</f>
        <v>7.0000000000000007E-2</v>
      </c>
      <c r="E12" s="47"/>
      <c r="F12" s="180"/>
      <c r="G12" s="180"/>
    </row>
    <row r="13" spans="2:7" s="142" customFormat="1" ht="15" x14ac:dyDescent="0.2">
      <c r="B13" s="163"/>
      <c r="C13" s="162" t="s">
        <v>218</v>
      </c>
      <c r="D13" s="91">
        <v>0.21</v>
      </c>
      <c r="E13" s="47"/>
      <c r="F13" s="180"/>
      <c r="G13" s="180"/>
    </row>
    <row r="14" spans="2:7" s="142" customFormat="1" ht="15" customHeight="1" thickBot="1" x14ac:dyDescent="0.25">
      <c r="B14" s="160"/>
      <c r="C14" s="159"/>
      <c r="D14" s="159"/>
      <c r="E14" s="158"/>
      <c r="F14" s="180"/>
      <c r="G14" s="180"/>
    </row>
    <row r="15" spans="2:7" s="142" customFormat="1" ht="15" x14ac:dyDescent="0.2"/>
    <row r="16" spans="2:7" s="142" customFormat="1" ht="15" x14ac:dyDescent="0.2">
      <c r="C16" s="157" t="s">
        <v>2</v>
      </c>
    </row>
    <row r="17" spans="2:8" s="142" customFormat="1" ht="15.75" thickBot="1" x14ac:dyDescent="0.25">
      <c r="C17" s="156"/>
      <c r="F17" s="168"/>
      <c r="G17" s="168"/>
    </row>
    <row r="18" spans="2:8" s="142" customFormat="1" ht="15" x14ac:dyDescent="0.2">
      <c r="B18" s="155"/>
      <c r="C18" s="154"/>
      <c r="D18" s="154"/>
      <c r="E18" s="154"/>
      <c r="F18" s="154"/>
      <c r="G18" s="153"/>
      <c r="H18" s="168"/>
    </row>
    <row r="19" spans="2:8" s="142" customFormat="1" ht="15" x14ac:dyDescent="0.2">
      <c r="B19" s="149" t="s">
        <v>50</v>
      </c>
      <c r="C19" s="148" t="s">
        <v>217</v>
      </c>
      <c r="D19" s="17">
        <f>D10</f>
        <v>1000</v>
      </c>
      <c r="E19" s="17"/>
      <c r="F19" s="17"/>
      <c r="G19" s="179"/>
      <c r="H19" s="168"/>
    </row>
    <row r="20" spans="2:8" s="142" customFormat="1" ht="15.75" x14ac:dyDescent="0.25">
      <c r="B20" s="149"/>
      <c r="C20" s="150" t="s">
        <v>216</v>
      </c>
      <c r="D20" s="178">
        <f>D9/D10</f>
        <v>50000</v>
      </c>
      <c r="E20" s="44"/>
      <c r="F20" s="44"/>
      <c r="G20" s="30"/>
      <c r="H20" s="168"/>
    </row>
    <row r="21" spans="2:8" s="142" customFormat="1" ht="15.75" x14ac:dyDescent="0.25">
      <c r="B21" s="149"/>
      <c r="C21" s="150"/>
      <c r="D21" s="44"/>
      <c r="E21" s="44"/>
      <c r="F21" s="44"/>
      <c r="G21" s="30"/>
      <c r="H21" s="168"/>
    </row>
    <row r="22" spans="2:8" s="142" customFormat="1" ht="15" x14ac:dyDescent="0.2">
      <c r="B22" s="149"/>
      <c r="C22" s="150" t="s">
        <v>215</v>
      </c>
      <c r="D22" s="40">
        <f>PV(D8/2,D7*2,,-D10)</f>
        <v>126.93430586130278</v>
      </c>
      <c r="E22" s="40"/>
      <c r="F22" s="40"/>
      <c r="G22" s="30"/>
      <c r="H22" s="168"/>
    </row>
    <row r="23" spans="2:8" s="142" customFormat="1" ht="15.75" x14ac:dyDescent="0.25">
      <c r="B23" s="149"/>
      <c r="C23" s="150" t="s">
        <v>214</v>
      </c>
      <c r="D23" s="178">
        <f>D9/D22</f>
        <v>393904.54503791488</v>
      </c>
      <c r="E23" s="44"/>
      <c r="F23" s="44"/>
      <c r="G23" s="30"/>
      <c r="H23" s="168"/>
    </row>
    <row r="24" spans="2:8" s="142" customFormat="1" ht="15" x14ac:dyDescent="0.2">
      <c r="B24" s="149"/>
      <c r="C24" s="150"/>
      <c r="D24" s="40"/>
      <c r="E24" s="40"/>
      <c r="F24" s="40"/>
      <c r="G24" s="30"/>
      <c r="H24" s="168"/>
    </row>
    <row r="25" spans="2:8" s="142" customFormat="1" ht="15.75" x14ac:dyDescent="0.25">
      <c r="B25" s="149" t="s">
        <v>51</v>
      </c>
      <c r="C25" s="150" t="s">
        <v>213</v>
      </c>
      <c r="D25" s="177">
        <f>(D20*D10)+(D20*D8/2*D10)</f>
        <v>51750000</v>
      </c>
      <c r="E25" s="173"/>
      <c r="F25" s="173"/>
      <c r="G25" s="30"/>
      <c r="H25" s="168"/>
    </row>
    <row r="26" spans="2:8" s="142" customFormat="1" ht="15.75" x14ac:dyDescent="0.25">
      <c r="B26" s="149"/>
      <c r="C26" s="150"/>
      <c r="D26" s="151"/>
      <c r="E26" s="151"/>
      <c r="F26" s="151"/>
      <c r="G26" s="30"/>
      <c r="H26" s="168"/>
    </row>
    <row r="27" spans="2:8" s="142" customFormat="1" ht="15.75" x14ac:dyDescent="0.25">
      <c r="B27" s="149"/>
      <c r="C27" s="150" t="s">
        <v>212</v>
      </c>
      <c r="D27" s="177">
        <f>D23*D10</f>
        <v>393904545.03791487</v>
      </c>
      <c r="E27" s="173"/>
      <c r="F27" s="173"/>
      <c r="G27" s="30"/>
      <c r="H27" s="168"/>
    </row>
    <row r="28" spans="2:8" s="142" customFormat="1" ht="15.75" x14ac:dyDescent="0.25">
      <c r="B28" s="149"/>
      <c r="C28" s="150"/>
      <c r="D28" s="32"/>
      <c r="E28" s="32"/>
      <c r="F28" s="32"/>
      <c r="G28" s="30"/>
      <c r="H28" s="168"/>
    </row>
    <row r="29" spans="2:8" s="142" customFormat="1" ht="15" x14ac:dyDescent="0.2">
      <c r="B29" s="149" t="s">
        <v>52</v>
      </c>
      <c r="C29" s="176" t="s">
        <v>211</v>
      </c>
      <c r="D29" s="38"/>
      <c r="E29" s="38"/>
      <c r="F29" s="38"/>
      <c r="G29" s="30"/>
    </row>
    <row r="30" spans="2:8" s="142" customFormat="1" ht="15.75" x14ac:dyDescent="0.25">
      <c r="B30" s="149"/>
      <c r="C30" s="150" t="s">
        <v>210</v>
      </c>
      <c r="D30" s="175">
        <f>(D12*D10)*D20*(1-D13)</f>
        <v>2765000</v>
      </c>
      <c r="E30" s="174"/>
      <c r="F30" s="170" t="str">
        <f>IF(D30&gt;0,"Cash outflow","Cash inflow")</f>
        <v>Cash outflow</v>
      </c>
      <c r="G30" s="30"/>
    </row>
    <row r="31" spans="2:8" s="142" customFormat="1" ht="15.75" x14ac:dyDescent="0.25">
      <c r="B31" s="149"/>
      <c r="C31" s="150"/>
      <c r="D31" s="173"/>
      <c r="E31" s="32"/>
      <c r="F31" s="32"/>
      <c r="G31" s="30"/>
    </row>
    <row r="32" spans="2:8" s="142" customFormat="1" ht="15.75" x14ac:dyDescent="0.25">
      <c r="B32" s="149"/>
      <c r="C32" s="150" t="s">
        <v>209</v>
      </c>
      <c r="D32" s="152">
        <f>PV(D8/2,(D7-1)*2,,-D10)</f>
        <v>135.97520179627406</v>
      </c>
      <c r="E32" s="32"/>
      <c r="F32" s="32"/>
      <c r="G32" s="30"/>
    </row>
    <row r="33" spans="2:8" s="142" customFormat="1" ht="15.75" x14ac:dyDescent="0.25">
      <c r="B33" s="149"/>
      <c r="C33" s="150"/>
      <c r="D33" s="152"/>
      <c r="E33" s="32"/>
      <c r="F33" s="32"/>
      <c r="G33" s="30"/>
    </row>
    <row r="34" spans="2:8" s="142" customFormat="1" ht="15.75" x14ac:dyDescent="0.25">
      <c r="B34" s="149"/>
      <c r="C34" s="150" t="s">
        <v>208</v>
      </c>
      <c r="D34" s="152">
        <f>D32-D22</f>
        <v>9.0408959349712887</v>
      </c>
      <c r="E34" s="32"/>
      <c r="F34" s="32"/>
      <c r="G34" s="30"/>
    </row>
    <row r="35" spans="2:8" s="142" customFormat="1" ht="15.75" x14ac:dyDescent="0.25">
      <c r="B35" s="149"/>
      <c r="C35" s="150"/>
      <c r="D35" s="32"/>
      <c r="E35" s="32"/>
      <c r="F35" s="32"/>
      <c r="G35" s="30"/>
    </row>
    <row r="36" spans="2:8" s="142" customFormat="1" ht="15.75" x14ac:dyDescent="0.25">
      <c r="B36" s="149"/>
      <c r="C36" s="148" t="s">
        <v>207</v>
      </c>
      <c r="D36" s="172">
        <f>-D34*D23*D13</f>
        <v>-747862.49999999988</v>
      </c>
      <c r="E36" s="171"/>
      <c r="F36" s="170" t="str">
        <f>IF(D36&gt;0,"Cash outflow","Cash inflow")</f>
        <v>Cash inflow</v>
      </c>
      <c r="G36" s="146"/>
    </row>
    <row r="37" spans="2:8" s="142" customFormat="1" ht="15.75" x14ac:dyDescent="0.25">
      <c r="B37" s="149"/>
      <c r="C37" s="148"/>
      <c r="D37" s="147"/>
      <c r="E37" s="147"/>
      <c r="F37" s="147"/>
      <c r="G37" s="146"/>
    </row>
    <row r="38" spans="2:8" s="142" customFormat="1" ht="15.75" x14ac:dyDescent="0.25">
      <c r="B38" s="149"/>
      <c r="C38" s="148" t="s">
        <v>206</v>
      </c>
      <c r="D38" s="147"/>
      <c r="E38" s="147"/>
      <c r="F38" s="147"/>
      <c r="G38" s="146"/>
    </row>
    <row r="39" spans="2:8" s="142" customFormat="1" ht="15.75" x14ac:dyDescent="0.25">
      <c r="B39" s="149"/>
      <c r="C39" s="148" t="s">
        <v>205</v>
      </c>
      <c r="D39" s="147"/>
      <c r="E39" s="147"/>
      <c r="F39" s="147"/>
      <c r="G39" s="146"/>
    </row>
    <row r="40" spans="2:8" s="142" customFormat="1" ht="15" customHeight="1" thickBot="1" x14ac:dyDescent="0.25">
      <c r="B40" s="145"/>
      <c r="C40" s="144"/>
      <c r="D40" s="144"/>
      <c r="E40" s="144"/>
      <c r="F40" s="144"/>
      <c r="G40" s="143"/>
      <c r="H40" s="168"/>
    </row>
    <row r="41" spans="2:8" s="142" customFormat="1" ht="15" x14ac:dyDescent="0.2">
      <c r="F41" s="168"/>
      <c r="G41" s="168"/>
    </row>
  </sheetData>
  <pageMargins left="0.75" right="0.75" top="1" bottom="1" header="0.5" footer="0.5"/>
  <pageSetup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5"/>
  <dimension ref="B1:E2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7109375" customWidth="1"/>
    <col min="4" max="4" width="13" customWidth="1"/>
    <col min="5" max="5" width="3.140625" customWidth="1"/>
  </cols>
  <sheetData>
    <row r="1" spans="2:5" ht="18" x14ac:dyDescent="0.25">
      <c r="C1" s="1" t="s">
        <v>189</v>
      </c>
    </row>
    <row r="2" spans="2:5" ht="15" x14ac:dyDescent="0.2">
      <c r="C2" s="2" t="s">
        <v>3</v>
      </c>
    </row>
    <row r="4" spans="2:5" ht="15" x14ac:dyDescent="0.2">
      <c r="C4" s="3" t="s">
        <v>1</v>
      </c>
      <c r="D4" s="2"/>
      <c r="E4" s="2"/>
    </row>
    <row r="5" spans="2:5" s="2" customFormat="1" ht="15.75" thickBot="1" x14ac:dyDescent="0.25">
      <c r="C5" s="4"/>
      <c r="D5" s="5"/>
    </row>
    <row r="6" spans="2:5" s="2" customFormat="1" ht="15" x14ac:dyDescent="0.2">
      <c r="B6" s="21"/>
      <c r="C6" s="6"/>
      <c r="D6" s="7"/>
      <c r="E6" s="8"/>
    </row>
    <row r="7" spans="2:5" s="2" customFormat="1" ht="15" x14ac:dyDescent="0.2">
      <c r="B7" s="22"/>
      <c r="C7" s="9" t="s">
        <v>8</v>
      </c>
      <c r="D7" s="86">
        <v>36526</v>
      </c>
      <c r="E7" s="10"/>
    </row>
    <row r="8" spans="2:5" s="2" customFormat="1" ht="15" x14ac:dyDescent="0.2">
      <c r="B8" s="22"/>
      <c r="C8" s="9" t="s">
        <v>9</v>
      </c>
      <c r="D8" s="87">
        <v>42005</v>
      </c>
      <c r="E8" s="10"/>
    </row>
    <row r="9" spans="2:5" s="2" customFormat="1" ht="15" x14ac:dyDescent="0.2">
      <c r="B9" s="22"/>
      <c r="C9" s="9" t="s">
        <v>10</v>
      </c>
      <c r="D9" s="92">
        <v>7.0000000000000007E-2</v>
      </c>
      <c r="E9" s="10"/>
    </row>
    <row r="10" spans="2:5" s="2" customFormat="1" ht="15" x14ac:dyDescent="0.2">
      <c r="B10" s="22"/>
      <c r="C10" s="9" t="s">
        <v>11</v>
      </c>
      <c r="D10" s="89">
        <v>2</v>
      </c>
      <c r="E10" s="10"/>
    </row>
    <row r="11" spans="2:5" s="2" customFormat="1" ht="15" x14ac:dyDescent="0.2">
      <c r="B11" s="22" t="s">
        <v>50</v>
      </c>
      <c r="C11" s="9" t="s">
        <v>6</v>
      </c>
      <c r="D11" s="91">
        <v>7.0000000000000007E-2</v>
      </c>
      <c r="E11" s="10"/>
    </row>
    <row r="12" spans="2:5" s="2" customFormat="1" ht="15" x14ac:dyDescent="0.2">
      <c r="B12" s="22" t="s">
        <v>51</v>
      </c>
      <c r="C12" s="9" t="s">
        <v>6</v>
      </c>
      <c r="D12" s="91">
        <v>0.09</v>
      </c>
      <c r="E12" s="10"/>
    </row>
    <row r="13" spans="2:5" s="2" customFormat="1" ht="15" x14ac:dyDescent="0.2">
      <c r="B13" s="22" t="s">
        <v>52</v>
      </c>
      <c r="C13" s="9" t="s">
        <v>6</v>
      </c>
      <c r="D13" s="91">
        <v>0.05</v>
      </c>
      <c r="E13" s="10"/>
    </row>
    <row r="14" spans="2:5" s="2" customFormat="1" ht="15" customHeight="1" thickBot="1" x14ac:dyDescent="0.25">
      <c r="B14" s="23"/>
      <c r="C14" s="11"/>
      <c r="D14" s="11"/>
      <c r="E14" s="12"/>
    </row>
    <row r="15" spans="2:5" s="2" customFormat="1" ht="15" x14ac:dyDescent="0.2"/>
    <row r="16" spans="2:5" s="2" customFormat="1" ht="15" x14ac:dyDescent="0.2">
      <c r="C16" s="3" t="s">
        <v>2</v>
      </c>
    </row>
    <row r="17" spans="2:5" s="2" customFormat="1" ht="15.75" thickBot="1" x14ac:dyDescent="0.25">
      <c r="C17" s="4"/>
    </row>
    <row r="18" spans="2:5" s="2" customFormat="1" ht="15" x14ac:dyDescent="0.2">
      <c r="B18" s="24"/>
      <c r="C18" s="13"/>
      <c r="D18" s="13"/>
      <c r="E18" s="25"/>
    </row>
    <row r="19" spans="2:5" s="2" customFormat="1" ht="15.75" x14ac:dyDescent="0.25">
      <c r="B19" s="19" t="s">
        <v>50</v>
      </c>
      <c r="C19" s="16" t="s">
        <v>91</v>
      </c>
      <c r="D19" s="131">
        <f>PRICE($D$7,$D$8,$D$9,D11,100,$D$10)*10</f>
        <v>1000.0000000000017</v>
      </c>
      <c r="E19" s="20"/>
    </row>
    <row r="20" spans="2:5" s="2" customFormat="1" ht="15.75" x14ac:dyDescent="0.25">
      <c r="B20" s="19"/>
      <c r="C20" s="16"/>
      <c r="D20" s="130"/>
      <c r="E20" s="20"/>
    </row>
    <row r="21" spans="2:5" s="2" customFormat="1" ht="15.75" x14ac:dyDescent="0.25">
      <c r="B21" s="19" t="s">
        <v>51</v>
      </c>
      <c r="C21" s="16" t="s">
        <v>91</v>
      </c>
      <c r="D21" s="131">
        <f>PRICE($D$7,$D$8,$D$9,D12,100,$D$10)*10</f>
        <v>837.11111455711318</v>
      </c>
      <c r="E21" s="20"/>
    </row>
    <row r="22" spans="2:5" s="2" customFormat="1" ht="15.75" x14ac:dyDescent="0.25">
      <c r="B22" s="19"/>
      <c r="C22" s="16"/>
      <c r="D22" s="130"/>
      <c r="E22" s="20"/>
    </row>
    <row r="23" spans="2:5" s="2" customFormat="1" ht="15.75" x14ac:dyDescent="0.25">
      <c r="B23" s="19" t="s">
        <v>52</v>
      </c>
      <c r="C23" s="16" t="s">
        <v>91</v>
      </c>
      <c r="D23" s="131">
        <f>PRICE($D$7,$D$8,$D$9,D13,100,$D$10)*10</f>
        <v>1209.3029259276134</v>
      </c>
      <c r="E23" s="20"/>
    </row>
    <row r="24" spans="2:5" s="2" customFormat="1" ht="15" customHeight="1" thickBot="1" x14ac:dyDescent="0.25">
      <c r="B24" s="26"/>
      <c r="C24" s="27"/>
      <c r="D24" s="27"/>
      <c r="E24" s="28"/>
    </row>
    <row r="25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2111111112"/>
  <dimension ref="B1:E5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1.7109375" customWidth="1"/>
    <col min="4" max="4" width="17.42578125" customWidth="1"/>
    <col min="5" max="5" width="3.140625" customWidth="1"/>
  </cols>
  <sheetData>
    <row r="1" spans="2:5" ht="18" x14ac:dyDescent="0.25">
      <c r="C1" s="1" t="s">
        <v>189</v>
      </c>
    </row>
    <row r="2" spans="2:5" ht="15" x14ac:dyDescent="0.2">
      <c r="C2" s="2" t="s">
        <v>227</v>
      </c>
    </row>
    <row r="4" spans="2:5" ht="15" x14ac:dyDescent="0.2">
      <c r="C4" s="3" t="s">
        <v>1</v>
      </c>
      <c r="D4" s="2"/>
      <c r="E4" s="2"/>
    </row>
    <row r="5" spans="2:5" s="2" customFormat="1" ht="15.75" thickBot="1" x14ac:dyDescent="0.25">
      <c r="C5" s="4"/>
      <c r="D5" s="5"/>
    </row>
    <row r="6" spans="2:5" s="2" customFormat="1" ht="15" x14ac:dyDescent="0.2">
      <c r="B6" s="21"/>
      <c r="C6" s="6"/>
      <c r="D6" s="7"/>
      <c r="E6" s="8"/>
    </row>
    <row r="7" spans="2:5" s="2" customFormat="1" ht="15" x14ac:dyDescent="0.2">
      <c r="B7" s="22"/>
      <c r="C7" s="34" t="s">
        <v>60</v>
      </c>
      <c r="D7" s="9"/>
      <c r="E7" s="10"/>
    </row>
    <row r="8" spans="2:5" s="2" customFormat="1" ht="15" x14ac:dyDescent="0.2">
      <c r="B8" s="22"/>
      <c r="C8" s="9" t="s">
        <v>5</v>
      </c>
      <c r="D8" s="95">
        <v>0.08</v>
      </c>
      <c r="E8" s="10"/>
    </row>
    <row r="9" spans="2:5" s="2" customFormat="1" ht="15" x14ac:dyDescent="0.2">
      <c r="B9" s="22"/>
      <c r="C9" s="9" t="s">
        <v>6</v>
      </c>
      <c r="D9" s="95">
        <v>6.5000000000000002E-2</v>
      </c>
      <c r="E9" s="10"/>
    </row>
    <row r="10" spans="2:5" s="2" customFormat="1" ht="15" x14ac:dyDescent="0.2">
      <c r="B10" s="22"/>
      <c r="C10" s="9" t="s">
        <v>8</v>
      </c>
      <c r="D10" s="87">
        <v>36526</v>
      </c>
      <c r="E10" s="10"/>
    </row>
    <row r="11" spans="2:5" s="2" customFormat="1" ht="15" x14ac:dyDescent="0.2">
      <c r="B11" s="22"/>
      <c r="C11" s="9" t="s">
        <v>9</v>
      </c>
      <c r="D11" s="87">
        <v>40179</v>
      </c>
      <c r="E11" s="10"/>
    </row>
    <row r="12" spans="2:5" s="2" customFormat="1" ht="15" x14ac:dyDescent="0.2">
      <c r="B12" s="22"/>
      <c r="C12" s="9" t="s">
        <v>15</v>
      </c>
      <c r="D12" s="93">
        <v>1000</v>
      </c>
      <c r="E12" s="10"/>
    </row>
    <row r="13" spans="2:5" s="2" customFormat="1" ht="15" x14ac:dyDescent="0.2">
      <c r="B13" s="22"/>
      <c r="C13" s="9" t="s">
        <v>37</v>
      </c>
      <c r="D13" s="93">
        <v>1</v>
      </c>
      <c r="E13" s="10"/>
    </row>
    <row r="14" spans="2:5" s="2" customFormat="1" ht="15" x14ac:dyDescent="0.2">
      <c r="B14" s="22"/>
      <c r="C14" s="9"/>
      <c r="D14" s="92"/>
      <c r="E14" s="10"/>
    </row>
    <row r="15" spans="2:5" s="2" customFormat="1" ht="15" x14ac:dyDescent="0.2">
      <c r="B15" s="22"/>
      <c r="C15" s="34" t="s">
        <v>61</v>
      </c>
      <c r="D15" s="92"/>
      <c r="E15" s="10"/>
    </row>
    <row r="16" spans="2:5" s="2" customFormat="1" ht="15" x14ac:dyDescent="0.2">
      <c r="B16" s="22"/>
      <c r="C16" s="9" t="s">
        <v>5</v>
      </c>
      <c r="D16" s="95">
        <v>0.05</v>
      </c>
      <c r="E16" s="10"/>
    </row>
    <row r="17" spans="2:5" s="2" customFormat="1" ht="15" x14ac:dyDescent="0.2">
      <c r="B17" s="22"/>
      <c r="C17" s="9" t="s">
        <v>6</v>
      </c>
      <c r="D17" s="261">
        <f>D9</f>
        <v>6.5000000000000002E-2</v>
      </c>
      <c r="E17" s="10"/>
    </row>
    <row r="18" spans="2:5" s="2" customFormat="1" ht="15" x14ac:dyDescent="0.2">
      <c r="B18" s="22"/>
      <c r="C18" s="9" t="s">
        <v>8</v>
      </c>
      <c r="D18" s="212">
        <f>D10</f>
        <v>36526</v>
      </c>
      <c r="E18" s="10"/>
    </row>
    <row r="19" spans="2:5" s="2" customFormat="1" ht="15" x14ac:dyDescent="0.2">
      <c r="B19" s="22"/>
      <c r="C19" s="9" t="s">
        <v>9</v>
      </c>
      <c r="D19" s="215">
        <f>D11</f>
        <v>40179</v>
      </c>
      <c r="E19" s="10"/>
    </row>
    <row r="20" spans="2:5" s="2" customFormat="1" ht="15" x14ac:dyDescent="0.2">
      <c r="B20" s="22"/>
      <c r="C20" s="9" t="s">
        <v>15</v>
      </c>
      <c r="D20" s="93">
        <v>1000</v>
      </c>
      <c r="E20" s="10"/>
    </row>
    <row r="21" spans="2:5" s="2" customFormat="1" ht="15" x14ac:dyDescent="0.2">
      <c r="B21" s="22"/>
      <c r="C21" s="9" t="s">
        <v>37</v>
      </c>
      <c r="D21" s="93">
        <v>1</v>
      </c>
      <c r="E21" s="10"/>
    </row>
    <row r="22" spans="2:5" s="2" customFormat="1" ht="15" x14ac:dyDescent="0.2">
      <c r="B22" s="22"/>
      <c r="C22" s="9"/>
      <c r="D22" s="93"/>
      <c r="E22" s="10"/>
    </row>
    <row r="23" spans="2:5" s="2" customFormat="1" ht="15" x14ac:dyDescent="0.2">
      <c r="B23" s="22"/>
      <c r="C23" s="9" t="s">
        <v>62</v>
      </c>
      <c r="D23" s="87">
        <v>36892</v>
      </c>
      <c r="E23" s="10"/>
    </row>
    <row r="24" spans="2:5" s="2" customFormat="1" ht="15" customHeight="1" thickBot="1" x14ac:dyDescent="0.25">
      <c r="B24" s="23"/>
      <c r="C24" s="11"/>
      <c r="D24" s="35"/>
      <c r="E24" s="12"/>
    </row>
    <row r="25" spans="2:5" s="2" customFormat="1" ht="15" x14ac:dyDescent="0.2"/>
    <row r="26" spans="2:5" s="2" customFormat="1" ht="15" x14ac:dyDescent="0.2">
      <c r="C26" s="3" t="s">
        <v>2</v>
      </c>
    </row>
    <row r="27" spans="2:5" s="2" customFormat="1" ht="15.75" thickBot="1" x14ac:dyDescent="0.25">
      <c r="C27" s="4"/>
    </row>
    <row r="28" spans="2:5" s="2" customFormat="1" ht="15" x14ac:dyDescent="0.2">
      <c r="B28" s="24"/>
      <c r="C28" s="13"/>
      <c r="D28" s="13"/>
      <c r="E28" s="25"/>
    </row>
    <row r="29" spans="2:5" s="2" customFormat="1" ht="15" x14ac:dyDescent="0.2">
      <c r="B29" s="19"/>
      <c r="C29" s="16" t="s">
        <v>163</v>
      </c>
      <c r="D29" s="38">
        <f>10*PRICE(D10,D11,D8,D9,D12/10,D13)</f>
        <v>1107.832453341417</v>
      </c>
      <c r="E29" s="20"/>
    </row>
    <row r="30" spans="2:5" s="2" customFormat="1" ht="15" x14ac:dyDescent="0.2">
      <c r="B30" s="19"/>
      <c r="C30" s="16" t="s">
        <v>164</v>
      </c>
      <c r="D30" s="39">
        <f>10*PRICE(D23,D11,D8,D9,D12/10,D13)</f>
        <v>1099.8415628086091</v>
      </c>
      <c r="E30" s="20"/>
    </row>
    <row r="31" spans="2:5" s="2" customFormat="1" ht="15" x14ac:dyDescent="0.2">
      <c r="B31" s="19"/>
      <c r="C31" s="16"/>
      <c r="D31" s="16"/>
      <c r="E31" s="20"/>
    </row>
    <row r="32" spans="2:5" s="2" customFormat="1" ht="15" x14ac:dyDescent="0.2">
      <c r="B32" s="19"/>
      <c r="C32" s="14" t="s">
        <v>165</v>
      </c>
      <c r="D32" s="38">
        <f>10*PRICE(D18,D19,D16,D17,D20/10,D21)</f>
        <v>892.167546658584</v>
      </c>
      <c r="E32" s="30"/>
    </row>
    <row r="33" spans="2:5" s="2" customFormat="1" ht="15" x14ac:dyDescent="0.2">
      <c r="B33" s="19"/>
      <c r="C33" s="14" t="s">
        <v>164</v>
      </c>
      <c r="D33" s="39">
        <f>10*PRICE(D23,D19,D16,D17,D20/10,D21)</f>
        <v>900.15843719139184</v>
      </c>
      <c r="E33" s="30"/>
    </row>
    <row r="34" spans="2:5" s="2" customFormat="1" ht="15.75" x14ac:dyDescent="0.25">
      <c r="B34" s="19"/>
      <c r="C34" s="14"/>
      <c r="D34" s="33"/>
      <c r="E34" s="30"/>
    </row>
    <row r="35" spans="2:5" s="2" customFormat="1" ht="15.75" x14ac:dyDescent="0.25">
      <c r="B35" s="19"/>
      <c r="C35" s="14" t="s">
        <v>166</v>
      </c>
      <c r="D35" s="31">
        <f>(D8*D12)/D29</f>
        <v>7.2213085795334808E-2</v>
      </c>
      <c r="E35" s="30"/>
    </row>
    <row r="36" spans="2:5" s="2" customFormat="1" ht="15.75" x14ac:dyDescent="0.25">
      <c r="B36" s="19"/>
      <c r="C36" s="61"/>
      <c r="D36" s="37"/>
      <c r="E36" s="30"/>
    </row>
    <row r="37" spans="2:5" s="2" customFormat="1" ht="15.75" x14ac:dyDescent="0.25">
      <c r="B37" s="19"/>
      <c r="C37" s="14" t="s">
        <v>167</v>
      </c>
      <c r="D37" s="31">
        <f>(D30-D29)/D29</f>
        <v>-7.2130857953348676E-3</v>
      </c>
      <c r="E37" s="30"/>
    </row>
    <row r="38" spans="2:5" s="2" customFormat="1" ht="15.75" x14ac:dyDescent="0.25">
      <c r="B38" s="19"/>
      <c r="C38" s="14"/>
      <c r="D38" s="33"/>
      <c r="E38" s="30"/>
    </row>
    <row r="39" spans="2:5" s="2" customFormat="1" ht="15.75" x14ac:dyDescent="0.25">
      <c r="B39" s="19"/>
      <c r="C39" s="14" t="s">
        <v>168</v>
      </c>
      <c r="D39" s="31">
        <f>(D16*D20)/D32</f>
        <v>5.6043284904571937E-2</v>
      </c>
      <c r="E39" s="30"/>
    </row>
    <row r="40" spans="2:5" s="2" customFormat="1" ht="15.75" x14ac:dyDescent="0.25">
      <c r="B40" s="19"/>
      <c r="C40" s="14"/>
      <c r="D40" s="37"/>
      <c r="E40" s="30"/>
    </row>
    <row r="41" spans="2:5" s="2" customFormat="1" ht="15.75" x14ac:dyDescent="0.25">
      <c r="B41" s="19"/>
      <c r="C41" s="14" t="s">
        <v>169</v>
      </c>
      <c r="D41" s="31">
        <f>(D33-D32)/D32</f>
        <v>8.9567150954279265E-3</v>
      </c>
      <c r="E41" s="30"/>
    </row>
    <row r="42" spans="2:5" s="2" customFormat="1" ht="15.75" x14ac:dyDescent="0.25">
      <c r="B42" s="19"/>
      <c r="C42" s="14"/>
      <c r="D42" s="33"/>
      <c r="E42" s="30"/>
    </row>
    <row r="43" spans="2:5" s="2" customFormat="1" ht="15.75" x14ac:dyDescent="0.25">
      <c r="B43" s="19"/>
      <c r="C43" s="14" t="s">
        <v>63</v>
      </c>
      <c r="D43" s="36"/>
      <c r="E43" s="30"/>
    </row>
    <row r="44" spans="2:5" s="2" customFormat="1" ht="15.75" x14ac:dyDescent="0.25">
      <c r="B44" s="19"/>
      <c r="C44" s="14" t="s">
        <v>64</v>
      </c>
      <c r="D44" s="36"/>
      <c r="E44" s="30"/>
    </row>
    <row r="45" spans="2:5" s="2" customFormat="1" ht="15.75" x14ac:dyDescent="0.25">
      <c r="B45" s="19"/>
      <c r="C45" s="14" t="s">
        <v>65</v>
      </c>
      <c r="D45" s="36"/>
      <c r="E45" s="30"/>
    </row>
    <row r="46" spans="2:5" s="2" customFormat="1" ht="15.75" x14ac:dyDescent="0.25">
      <c r="B46" s="19"/>
      <c r="C46" s="14" t="s">
        <v>66</v>
      </c>
      <c r="D46" s="36"/>
      <c r="E46" s="30"/>
    </row>
    <row r="47" spans="2:5" s="2" customFormat="1" ht="15.75" x14ac:dyDescent="0.25">
      <c r="B47" s="19"/>
      <c r="C47" s="14" t="s">
        <v>254</v>
      </c>
      <c r="D47" s="36"/>
      <c r="E47" s="30"/>
    </row>
    <row r="48" spans="2:5" s="2" customFormat="1" ht="15.75" x14ac:dyDescent="0.25">
      <c r="B48" s="19"/>
      <c r="C48" s="14" t="str">
        <f>"is still "&amp;D9*100&amp;"%, but this return is distributed differently"</f>
        <v>is still 6.5%, but this return is distributed differently</v>
      </c>
      <c r="D48" s="36"/>
      <c r="E48" s="30"/>
    </row>
    <row r="49" spans="2:5" s="2" customFormat="1" ht="15.75" x14ac:dyDescent="0.25">
      <c r="B49" s="19"/>
      <c r="C49" s="14" t="s">
        <v>67</v>
      </c>
      <c r="D49" s="36"/>
      <c r="E49" s="30"/>
    </row>
    <row r="50" spans="2:5" s="2" customFormat="1" ht="15" customHeight="1" thickBot="1" x14ac:dyDescent="0.25">
      <c r="B50" s="26"/>
      <c r="C50" s="27"/>
      <c r="D50" s="27"/>
      <c r="E50" s="28"/>
    </row>
    <row r="51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211"/>
  <dimension ref="B1:H34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1" customWidth="1"/>
    <col min="4" max="4" width="17.140625" customWidth="1"/>
    <col min="5" max="5" width="3.140625" customWidth="1"/>
    <col min="6" max="7" width="9.140625" customWidth="1"/>
  </cols>
  <sheetData>
    <row r="1" spans="2:7" ht="18" x14ac:dyDescent="0.25">
      <c r="C1" s="1" t="s">
        <v>189</v>
      </c>
    </row>
    <row r="2" spans="2:7" ht="15" x14ac:dyDescent="0.2">
      <c r="C2" s="2" t="s">
        <v>191</v>
      </c>
    </row>
    <row r="4" spans="2:7" ht="15" x14ac:dyDescent="0.2">
      <c r="C4" s="3" t="s">
        <v>1</v>
      </c>
      <c r="D4" s="2"/>
      <c r="E4" s="2"/>
      <c r="F4" s="2"/>
      <c r="G4" s="2"/>
    </row>
    <row r="5" spans="2:7" s="2" customFormat="1" ht="15.75" thickBot="1" x14ac:dyDescent="0.25">
      <c r="C5" s="4"/>
      <c r="D5" s="5"/>
      <c r="E5" s="5"/>
      <c r="F5" s="5"/>
    </row>
    <row r="6" spans="2:7" s="2" customFormat="1" ht="15" x14ac:dyDescent="0.2">
      <c r="B6" s="21"/>
      <c r="C6" s="6"/>
      <c r="D6" s="7"/>
      <c r="E6" s="8"/>
      <c r="F6" s="45"/>
      <c r="G6" s="45"/>
    </row>
    <row r="7" spans="2:7" s="2" customFormat="1" ht="15" x14ac:dyDescent="0.2">
      <c r="B7" s="22"/>
      <c r="C7" s="9" t="s">
        <v>8</v>
      </c>
      <c r="D7" s="98">
        <v>36526</v>
      </c>
      <c r="E7" s="10"/>
      <c r="F7" s="45"/>
      <c r="G7" s="45"/>
    </row>
    <row r="8" spans="2:7" s="2" customFormat="1" ht="15" x14ac:dyDescent="0.2">
      <c r="B8" s="22"/>
      <c r="C8" s="9" t="s">
        <v>9</v>
      </c>
      <c r="D8" s="86">
        <v>40179</v>
      </c>
      <c r="E8" s="46"/>
      <c r="F8" s="45"/>
      <c r="G8" s="45"/>
    </row>
    <row r="9" spans="2:7" s="2" customFormat="1" ht="15" x14ac:dyDescent="0.2">
      <c r="B9" s="22"/>
      <c r="C9" s="9" t="s">
        <v>5</v>
      </c>
      <c r="D9" s="92">
        <v>5.3999999999999999E-2</v>
      </c>
      <c r="E9" s="47"/>
      <c r="F9" s="45"/>
      <c r="G9" s="45"/>
    </row>
    <row r="10" spans="2:7" s="2" customFormat="1" ht="15" x14ac:dyDescent="0.2">
      <c r="B10" s="22"/>
      <c r="C10" s="9" t="s">
        <v>69</v>
      </c>
      <c r="D10" s="90">
        <v>940</v>
      </c>
      <c r="E10" s="48"/>
      <c r="F10" s="45"/>
      <c r="G10" s="45"/>
    </row>
    <row r="11" spans="2:7" s="2" customFormat="1" ht="15" x14ac:dyDescent="0.2">
      <c r="B11" s="22"/>
      <c r="C11" s="9" t="s">
        <v>15</v>
      </c>
      <c r="D11" s="89">
        <v>1000</v>
      </c>
      <c r="E11" s="49"/>
      <c r="F11" s="45"/>
      <c r="G11" s="45"/>
    </row>
    <row r="12" spans="2:7" s="2" customFormat="1" ht="15" x14ac:dyDescent="0.2">
      <c r="B12" s="22"/>
      <c r="C12" s="9" t="s">
        <v>11</v>
      </c>
      <c r="D12" s="89">
        <v>1</v>
      </c>
      <c r="E12" s="49"/>
      <c r="F12" s="45"/>
      <c r="G12" s="45"/>
    </row>
    <row r="13" spans="2:7" s="2" customFormat="1" ht="15" x14ac:dyDescent="0.2">
      <c r="B13" s="22"/>
      <c r="C13" s="9"/>
      <c r="D13" s="89"/>
      <c r="E13" s="49"/>
      <c r="F13" s="45"/>
      <c r="G13" s="45"/>
    </row>
    <row r="14" spans="2:7" s="2" customFormat="1" ht="15" x14ac:dyDescent="0.2">
      <c r="B14" s="22"/>
      <c r="C14" s="9" t="s">
        <v>70</v>
      </c>
      <c r="D14" s="87">
        <v>37257</v>
      </c>
      <c r="E14" s="49"/>
      <c r="F14" s="45"/>
      <c r="G14" s="45"/>
    </row>
    <row r="15" spans="2:7" s="2" customFormat="1" ht="15" x14ac:dyDescent="0.2">
      <c r="B15" s="22"/>
      <c r="C15" s="9" t="s">
        <v>39</v>
      </c>
      <c r="D15" s="91">
        <v>-0.01</v>
      </c>
      <c r="E15" s="47"/>
      <c r="F15" s="45"/>
      <c r="G15" s="45"/>
    </row>
    <row r="16" spans="2:7" s="2" customFormat="1" ht="15" customHeight="1" thickBot="1" x14ac:dyDescent="0.25">
      <c r="B16" s="23"/>
      <c r="C16" s="11"/>
      <c r="D16" s="11"/>
      <c r="E16" s="12"/>
      <c r="F16" s="45"/>
      <c r="G16" s="45"/>
    </row>
    <row r="17" spans="2:8" s="2" customFormat="1" ht="15" x14ac:dyDescent="0.2"/>
    <row r="18" spans="2:8" s="2" customFormat="1" ht="15" x14ac:dyDescent="0.2">
      <c r="C18" s="3" t="s">
        <v>2</v>
      </c>
    </row>
    <row r="19" spans="2:8" s="2" customFormat="1" ht="15.75" thickBot="1" x14ac:dyDescent="0.25">
      <c r="C19" s="4"/>
      <c r="F19" s="5"/>
      <c r="G19" s="5"/>
    </row>
    <row r="20" spans="2:8" s="2" customFormat="1" ht="15" x14ac:dyDescent="0.2">
      <c r="B20" s="24"/>
      <c r="C20" s="13"/>
      <c r="D20" s="13"/>
      <c r="E20" s="13"/>
      <c r="F20" s="55"/>
      <c r="G20" s="45"/>
      <c r="H20" s="5"/>
    </row>
    <row r="21" spans="2:8" s="2" customFormat="1" ht="15.75" x14ac:dyDescent="0.25">
      <c r="B21" s="19" t="s">
        <v>50</v>
      </c>
      <c r="C21" s="16" t="s">
        <v>159</v>
      </c>
      <c r="D21" s="31">
        <f>YIELD(D7,D8,D9,D10/10,D11/10,D12)</f>
        <v>6.2238763379508212E-2</v>
      </c>
      <c r="E21" s="17"/>
      <c r="F21" s="52"/>
      <c r="G21" s="45"/>
      <c r="H21" s="5"/>
    </row>
    <row r="22" spans="2:8" s="2" customFormat="1" ht="15.75" x14ac:dyDescent="0.25">
      <c r="B22" s="19"/>
      <c r="C22" s="14"/>
      <c r="D22" s="44"/>
      <c r="E22" s="44"/>
      <c r="F22" s="53"/>
      <c r="G22" s="51"/>
      <c r="H22" s="5"/>
    </row>
    <row r="23" spans="2:8" s="2" customFormat="1" ht="15.75" x14ac:dyDescent="0.25">
      <c r="B23" s="19"/>
      <c r="C23" s="14" t="s">
        <v>71</v>
      </c>
      <c r="D23" s="44"/>
      <c r="E23" s="44"/>
      <c r="F23" s="53"/>
      <c r="G23" s="51"/>
      <c r="H23" s="5"/>
    </row>
    <row r="24" spans="2:8" s="2" customFormat="1" ht="15.75" x14ac:dyDescent="0.25">
      <c r="B24" s="19"/>
      <c r="C24" s="14" t="s">
        <v>72</v>
      </c>
      <c r="D24" s="44"/>
      <c r="E24" s="44"/>
      <c r="F24" s="53"/>
      <c r="G24" s="51"/>
      <c r="H24" s="5"/>
    </row>
    <row r="25" spans="2:8" s="2" customFormat="1" ht="15.75" x14ac:dyDescent="0.25">
      <c r="B25" s="19"/>
      <c r="C25" s="14"/>
      <c r="D25" s="44"/>
      <c r="E25" s="44"/>
      <c r="F25" s="53"/>
      <c r="G25" s="51"/>
      <c r="H25" s="5"/>
    </row>
    <row r="26" spans="2:8" s="2" customFormat="1" ht="15.75" x14ac:dyDescent="0.25">
      <c r="B26" s="19" t="s">
        <v>51</v>
      </c>
      <c r="C26" s="14" t="s">
        <v>170</v>
      </c>
      <c r="D26" s="41">
        <f>10*PRICE(D14,D8,D9,D21+D15,D11/10,D12)</f>
        <v>1011.2809358231146</v>
      </c>
      <c r="E26" s="40"/>
      <c r="F26" s="54"/>
      <c r="G26" s="51"/>
      <c r="H26" s="5"/>
    </row>
    <row r="27" spans="2:8" s="2" customFormat="1" ht="15.75" x14ac:dyDescent="0.25">
      <c r="B27" s="19"/>
      <c r="C27" s="14" t="s">
        <v>171</v>
      </c>
      <c r="D27" s="31">
        <f>YIELD(D7,D14,D9,D10/10,D26/10,D12)</f>
        <v>9.3665949772775661E-2</v>
      </c>
      <c r="E27" s="44"/>
      <c r="F27" s="53"/>
      <c r="G27" s="51"/>
      <c r="H27" s="5"/>
    </row>
    <row r="28" spans="2:8" s="2" customFormat="1" ht="15" x14ac:dyDescent="0.2">
      <c r="B28" s="19"/>
      <c r="C28" s="14"/>
      <c r="D28" s="40"/>
      <c r="E28" s="40"/>
      <c r="F28" s="54"/>
      <c r="G28" s="51"/>
      <c r="H28" s="5"/>
    </row>
    <row r="29" spans="2:8" s="2" customFormat="1" ht="15" x14ac:dyDescent="0.2">
      <c r="B29" s="19"/>
      <c r="C29" s="14" t="s">
        <v>73</v>
      </c>
      <c r="D29" s="40"/>
      <c r="E29" s="40"/>
      <c r="F29" s="54"/>
      <c r="G29" s="51"/>
      <c r="H29" s="5"/>
    </row>
    <row r="30" spans="2:8" s="2" customFormat="1" ht="15" x14ac:dyDescent="0.2">
      <c r="B30" s="19"/>
      <c r="C30" s="14" t="s">
        <v>74</v>
      </c>
      <c r="D30" s="40"/>
      <c r="E30" s="40"/>
      <c r="F30" s="54"/>
      <c r="G30" s="51"/>
      <c r="H30" s="5"/>
    </row>
    <row r="31" spans="2:8" s="2" customFormat="1" ht="15" x14ac:dyDescent="0.2">
      <c r="B31" s="19"/>
      <c r="C31" s="14" t="s">
        <v>75</v>
      </c>
      <c r="D31" s="40"/>
      <c r="E31" s="40"/>
      <c r="F31" s="54"/>
      <c r="G31" s="51"/>
      <c r="H31" s="5"/>
    </row>
    <row r="32" spans="2:8" s="2" customFormat="1" ht="15" x14ac:dyDescent="0.2">
      <c r="B32" s="19"/>
      <c r="C32" s="14" t="s">
        <v>76</v>
      </c>
      <c r="D32" s="40"/>
      <c r="E32" s="40"/>
      <c r="F32" s="54"/>
      <c r="G32" s="51"/>
      <c r="H32" s="5"/>
    </row>
    <row r="33" spans="2:8" s="2" customFormat="1" ht="15" customHeight="1" thickBot="1" x14ac:dyDescent="0.25">
      <c r="B33" s="26"/>
      <c r="C33" s="27"/>
      <c r="D33" s="27"/>
      <c r="E33" s="27"/>
      <c r="F33" s="55"/>
      <c r="G33" s="45"/>
      <c r="H33" s="5"/>
    </row>
    <row r="34" spans="2:8" s="2" customFormat="1" ht="15" x14ac:dyDescent="0.2">
      <c r="F34" s="5"/>
      <c r="G34" s="5"/>
    </row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2111"/>
  <dimension ref="B1:H34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41" customWidth="1"/>
    <col min="4" max="4" width="17.140625" customWidth="1"/>
    <col min="5" max="5" width="3.140625" customWidth="1"/>
    <col min="6" max="7" width="9.140625" customWidth="1"/>
  </cols>
  <sheetData>
    <row r="1" spans="2:7" ht="18" x14ac:dyDescent="0.25">
      <c r="C1" s="1" t="s">
        <v>189</v>
      </c>
    </row>
    <row r="2" spans="2:7" ht="15" x14ac:dyDescent="0.2">
      <c r="C2" s="2" t="s">
        <v>190</v>
      </c>
    </row>
    <row r="4" spans="2:7" ht="15" x14ac:dyDescent="0.2">
      <c r="C4" s="3" t="s">
        <v>1</v>
      </c>
      <c r="D4" s="2"/>
      <c r="E4" s="2"/>
      <c r="F4" s="2"/>
      <c r="G4" s="2"/>
    </row>
    <row r="5" spans="2:7" s="2" customFormat="1" ht="15.75" thickBot="1" x14ac:dyDescent="0.25">
      <c r="C5" s="4"/>
      <c r="D5" s="5"/>
      <c r="E5" s="5"/>
      <c r="F5" s="5"/>
    </row>
    <row r="6" spans="2:7" s="2" customFormat="1" ht="15" x14ac:dyDescent="0.2">
      <c r="B6" s="21"/>
      <c r="C6" s="6"/>
      <c r="D6" s="7"/>
      <c r="E6" s="8"/>
      <c r="F6" s="45"/>
      <c r="G6" s="45"/>
    </row>
    <row r="7" spans="2:7" s="2" customFormat="1" ht="15" x14ac:dyDescent="0.2">
      <c r="B7" s="22"/>
      <c r="C7" s="34" t="s">
        <v>78</v>
      </c>
      <c r="D7" s="9"/>
      <c r="E7" s="10"/>
      <c r="F7" s="45"/>
      <c r="G7" s="45"/>
    </row>
    <row r="8" spans="2:7" s="2" customFormat="1" ht="15" x14ac:dyDescent="0.2">
      <c r="B8" s="22"/>
      <c r="C8" s="9" t="s">
        <v>54</v>
      </c>
      <c r="D8" s="99">
        <v>20</v>
      </c>
      <c r="E8" s="10"/>
      <c r="F8" s="45"/>
      <c r="G8" s="45"/>
    </row>
    <row r="9" spans="2:7" s="2" customFormat="1" ht="15" x14ac:dyDescent="0.2">
      <c r="B9" s="22"/>
      <c r="C9" s="9" t="s">
        <v>83</v>
      </c>
      <c r="D9" s="97">
        <v>6</v>
      </c>
      <c r="E9" s="46"/>
      <c r="F9" s="45"/>
      <c r="G9" s="45"/>
    </row>
    <row r="10" spans="2:7" s="2" customFormat="1" ht="15" x14ac:dyDescent="0.2">
      <c r="B10" s="22"/>
      <c r="C10" s="9" t="s">
        <v>84</v>
      </c>
      <c r="D10" s="100">
        <v>14</v>
      </c>
      <c r="E10" s="47"/>
      <c r="F10" s="45"/>
      <c r="G10" s="45"/>
    </row>
    <row r="11" spans="2:7" s="2" customFormat="1" ht="15" x14ac:dyDescent="0.2">
      <c r="B11" s="22"/>
      <c r="C11" s="9"/>
      <c r="D11" s="86"/>
      <c r="E11" s="48"/>
      <c r="F11" s="45"/>
      <c r="G11" s="45"/>
    </row>
    <row r="12" spans="2:7" s="2" customFormat="1" ht="15" x14ac:dyDescent="0.2">
      <c r="B12" s="22"/>
      <c r="C12" s="9" t="s">
        <v>15</v>
      </c>
      <c r="D12" s="90">
        <v>30000</v>
      </c>
      <c r="E12" s="48"/>
      <c r="F12" s="45"/>
      <c r="G12" s="45"/>
    </row>
    <row r="13" spans="2:7" s="2" customFormat="1" ht="15" x14ac:dyDescent="0.2">
      <c r="B13" s="22"/>
      <c r="C13" s="9" t="s">
        <v>79</v>
      </c>
      <c r="D13" s="89">
        <v>800</v>
      </c>
      <c r="E13" s="49"/>
      <c r="F13" s="45"/>
      <c r="G13" s="45"/>
    </row>
    <row r="14" spans="2:7" s="2" customFormat="1" ht="15" x14ac:dyDescent="0.2">
      <c r="B14" s="22"/>
      <c r="C14" s="9" t="s">
        <v>80</v>
      </c>
      <c r="D14" s="89">
        <v>1000</v>
      </c>
      <c r="E14" s="49"/>
      <c r="F14" s="45"/>
      <c r="G14" s="45"/>
    </row>
    <row r="15" spans="2:7" s="2" customFormat="1" ht="15" x14ac:dyDescent="0.2">
      <c r="B15" s="22"/>
      <c r="C15" s="9"/>
      <c r="D15" s="89"/>
      <c r="E15" s="49"/>
      <c r="F15" s="45"/>
      <c r="G15" s="45"/>
    </row>
    <row r="16" spans="2:7" s="2" customFormat="1" ht="15" x14ac:dyDescent="0.2">
      <c r="B16" s="22"/>
      <c r="C16" s="34" t="s">
        <v>81</v>
      </c>
      <c r="D16" s="89"/>
      <c r="E16" s="49"/>
      <c r="F16" s="45"/>
      <c r="G16" s="45"/>
    </row>
    <row r="17" spans="2:8" s="2" customFormat="1" ht="15" x14ac:dyDescent="0.2">
      <c r="B17" s="22"/>
      <c r="C17" s="9" t="s">
        <v>54</v>
      </c>
      <c r="D17" s="100">
        <v>20</v>
      </c>
      <c r="E17" s="49"/>
      <c r="F17" s="45"/>
      <c r="G17" s="45"/>
    </row>
    <row r="18" spans="2:8" s="2" customFormat="1" ht="15" x14ac:dyDescent="0.2">
      <c r="B18" s="22"/>
      <c r="C18" s="9" t="s">
        <v>15</v>
      </c>
      <c r="D18" s="90">
        <v>30000</v>
      </c>
      <c r="E18" s="47"/>
      <c r="F18" s="45"/>
      <c r="G18" s="45"/>
    </row>
    <row r="19" spans="2:8" s="2" customFormat="1" ht="15" x14ac:dyDescent="0.2">
      <c r="B19" s="22"/>
      <c r="C19" s="9"/>
      <c r="D19" s="90"/>
      <c r="E19" s="47"/>
      <c r="F19" s="45"/>
      <c r="G19" s="45"/>
    </row>
    <row r="20" spans="2:8" s="2" customFormat="1" ht="15" x14ac:dyDescent="0.2">
      <c r="B20" s="22"/>
      <c r="C20" s="9" t="s">
        <v>82</v>
      </c>
      <c r="D20" s="95">
        <v>5.6000000000000001E-2</v>
      </c>
      <c r="E20" s="47"/>
      <c r="F20" s="45"/>
      <c r="G20" s="45"/>
    </row>
    <row r="21" spans="2:8" s="2" customFormat="1" ht="15" customHeight="1" thickBot="1" x14ac:dyDescent="0.25">
      <c r="B21" s="23"/>
      <c r="C21" s="11"/>
      <c r="D21" s="11"/>
      <c r="E21" s="12"/>
      <c r="F21" s="45"/>
      <c r="G21" s="45"/>
    </row>
    <row r="22" spans="2:8" s="2" customFormat="1" ht="15" x14ac:dyDescent="0.2"/>
    <row r="23" spans="2:8" s="2" customFormat="1" ht="15" x14ac:dyDescent="0.2">
      <c r="C23" s="3" t="s">
        <v>2</v>
      </c>
    </row>
    <row r="24" spans="2:8" s="2" customFormat="1" ht="15.75" thickBot="1" x14ac:dyDescent="0.25">
      <c r="C24" s="4"/>
      <c r="F24" s="5"/>
      <c r="G24" s="5"/>
    </row>
    <row r="25" spans="2:8" s="2" customFormat="1" ht="15" x14ac:dyDescent="0.2">
      <c r="B25" s="24"/>
      <c r="C25" s="13"/>
      <c r="D25" s="13"/>
      <c r="E25" s="13"/>
      <c r="F25" s="55"/>
      <c r="G25" s="45"/>
      <c r="H25" s="5"/>
    </row>
    <row r="26" spans="2:8" s="2" customFormat="1" ht="15" x14ac:dyDescent="0.2">
      <c r="B26" s="19"/>
      <c r="C26" s="50" t="s">
        <v>78</v>
      </c>
      <c r="D26" s="16"/>
      <c r="E26" s="16"/>
      <c r="F26" s="55"/>
      <c r="G26" s="45"/>
      <c r="H26" s="5"/>
    </row>
    <row r="27" spans="2:8" s="2" customFormat="1" ht="15" x14ac:dyDescent="0.2">
      <c r="B27" s="19" t="s">
        <v>50</v>
      </c>
      <c r="C27" s="16" t="s">
        <v>172</v>
      </c>
      <c r="D27" s="38">
        <f>D12/(1+D20/2)^(D8*2)</f>
        <v>9940.2353787537322</v>
      </c>
      <c r="E27" s="17"/>
      <c r="F27" s="52"/>
      <c r="G27" s="45"/>
      <c r="H27" s="5"/>
    </row>
    <row r="28" spans="2:8" s="2" customFormat="1" ht="15.75" x14ac:dyDescent="0.25">
      <c r="B28" s="19"/>
      <c r="C28" s="14" t="s">
        <v>173</v>
      </c>
      <c r="D28" s="62">
        <f>-(PV(D20/2,(D10-D9)*2,D13))/(1+D20/2)^(D9*2)</f>
        <v>7325.9559544521417</v>
      </c>
      <c r="E28" s="44"/>
      <c r="F28" s="53"/>
      <c r="G28" s="51"/>
      <c r="H28" s="5"/>
    </row>
    <row r="29" spans="2:8" s="2" customFormat="1" ht="15.75" x14ac:dyDescent="0.25">
      <c r="B29" s="19"/>
      <c r="C29" s="14" t="s">
        <v>174</v>
      </c>
      <c r="D29" s="63">
        <f>-PV(D20/2,(D8-D10)*2,D14)/(1+D20/2)^(D10*2)</f>
        <v>4649.3295074142798</v>
      </c>
      <c r="E29" s="44"/>
      <c r="F29" s="53"/>
      <c r="G29" s="51"/>
      <c r="H29" s="5"/>
    </row>
    <row r="30" spans="2:8" s="2" customFormat="1" ht="15.75" x14ac:dyDescent="0.25">
      <c r="B30" s="19"/>
      <c r="C30" s="14" t="s">
        <v>175</v>
      </c>
      <c r="D30" s="29">
        <f>D27+D28+D29</f>
        <v>21915.520840620156</v>
      </c>
      <c r="E30" s="44"/>
      <c r="F30" s="53"/>
      <c r="G30" s="51"/>
      <c r="H30" s="5"/>
    </row>
    <row r="31" spans="2:8" s="2" customFormat="1" ht="15.75" x14ac:dyDescent="0.25">
      <c r="B31" s="19"/>
      <c r="C31" s="14"/>
      <c r="D31" s="44"/>
      <c r="E31" s="44"/>
      <c r="F31" s="53"/>
      <c r="G31" s="51"/>
      <c r="H31" s="5"/>
    </row>
    <row r="32" spans="2:8" s="2" customFormat="1" ht="15.75" x14ac:dyDescent="0.25">
      <c r="B32" s="19" t="s">
        <v>51</v>
      </c>
      <c r="C32" s="14" t="s">
        <v>176</v>
      </c>
      <c r="D32" s="41">
        <f>D18/(1+D20/2)^(D17*2)</f>
        <v>9940.2353787537322</v>
      </c>
      <c r="E32" s="40"/>
      <c r="F32" s="54"/>
      <c r="G32" s="51"/>
      <c r="H32" s="5"/>
    </row>
    <row r="33" spans="2:8" s="2" customFormat="1" ht="15" customHeight="1" thickBot="1" x14ac:dyDescent="0.25">
      <c r="B33" s="26"/>
      <c r="C33" s="27"/>
      <c r="D33" s="27"/>
      <c r="E33" s="27"/>
      <c r="F33" s="55"/>
      <c r="G33" s="45"/>
      <c r="H33" s="5"/>
    </row>
    <row r="34" spans="2:8" s="2" customFormat="1" ht="15" x14ac:dyDescent="0.2">
      <c r="F34" s="5"/>
      <c r="G34" s="5"/>
    </row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21112"/>
  <dimension ref="B1:J24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41" customWidth="1"/>
    <col min="4" max="4" width="15" bestFit="1" customWidth="1"/>
    <col min="5" max="5" width="3.140625" customWidth="1"/>
    <col min="6" max="7" width="9.140625" style="2" customWidth="1"/>
    <col min="8" max="10" width="9.140625" customWidth="1"/>
  </cols>
  <sheetData>
    <row r="1" spans="2:10" ht="18" x14ac:dyDescent="0.25">
      <c r="C1" s="1" t="s">
        <v>189</v>
      </c>
      <c r="D1" s="1"/>
      <c r="E1" s="1"/>
    </row>
    <row r="2" spans="2:10" x14ac:dyDescent="0.2">
      <c r="C2" s="2" t="s">
        <v>226</v>
      </c>
      <c r="D2" s="2"/>
      <c r="E2" s="2"/>
    </row>
    <row r="4" spans="2:10" x14ac:dyDescent="0.2">
      <c r="C4" s="3" t="s">
        <v>1</v>
      </c>
      <c r="D4" s="3"/>
      <c r="E4" s="3"/>
      <c r="H4" s="2"/>
      <c r="I4" s="2"/>
      <c r="J4" s="2"/>
    </row>
    <row r="5" spans="2:10" s="2" customFormat="1" ht="15.75" thickBot="1" x14ac:dyDescent="0.25">
      <c r="C5" s="4"/>
      <c r="D5" s="4"/>
      <c r="E5" s="4"/>
      <c r="F5" s="5"/>
      <c r="G5" s="5"/>
      <c r="H5" s="5"/>
      <c r="I5" s="5"/>
    </row>
    <row r="6" spans="2:10" s="2" customFormat="1" x14ac:dyDescent="0.2">
      <c r="B6" s="21"/>
      <c r="C6" s="6"/>
      <c r="D6" s="6"/>
      <c r="E6" s="68"/>
      <c r="F6" s="45"/>
      <c r="G6" s="45"/>
      <c r="H6" s="45"/>
      <c r="I6" s="45"/>
      <c r="J6" s="45"/>
    </row>
    <row r="7" spans="2:10" s="2" customFormat="1" x14ac:dyDescent="0.2">
      <c r="B7" s="22"/>
      <c r="C7" s="9" t="s">
        <v>105</v>
      </c>
      <c r="D7" s="108">
        <v>8</v>
      </c>
      <c r="E7" s="69"/>
      <c r="F7" s="45"/>
      <c r="G7" s="64"/>
      <c r="H7" s="45"/>
      <c r="I7" s="45"/>
      <c r="J7" s="45"/>
    </row>
    <row r="8" spans="2:10" s="2" customFormat="1" x14ac:dyDescent="0.2">
      <c r="B8" s="22"/>
      <c r="C8" s="9" t="s">
        <v>106</v>
      </c>
      <c r="D8" s="109">
        <v>30</v>
      </c>
      <c r="E8" s="69"/>
      <c r="F8" s="45"/>
      <c r="G8" s="64"/>
      <c r="H8" s="45"/>
      <c r="I8" s="45"/>
      <c r="J8" s="45"/>
    </row>
    <row r="9" spans="2:10" s="2" customFormat="1" x14ac:dyDescent="0.2">
      <c r="B9" s="22"/>
      <c r="C9" s="9" t="s">
        <v>107</v>
      </c>
      <c r="D9" s="92">
        <v>7.4999999999999997E-2</v>
      </c>
      <c r="E9" s="69"/>
      <c r="F9" s="45"/>
      <c r="G9" s="64"/>
      <c r="H9" s="67"/>
      <c r="I9" s="45"/>
      <c r="J9" s="45"/>
    </row>
    <row r="10" spans="2:10" s="2" customFormat="1" x14ac:dyDescent="0.2">
      <c r="B10" s="22"/>
      <c r="C10" s="9" t="s">
        <v>22</v>
      </c>
      <c r="D10" s="92">
        <v>3.2000000000000001E-2</v>
      </c>
      <c r="E10" s="70"/>
      <c r="F10" s="45"/>
      <c r="G10" s="65"/>
      <c r="H10" s="66"/>
      <c r="I10" s="45"/>
      <c r="J10" s="45"/>
    </row>
    <row r="11" spans="2:10" s="2" customFormat="1" ht="15" customHeight="1" thickBot="1" x14ac:dyDescent="0.25">
      <c r="B11" s="23"/>
      <c r="C11" s="11"/>
      <c r="D11" s="11"/>
      <c r="E11" s="12"/>
      <c r="F11" s="45"/>
      <c r="G11" s="45"/>
      <c r="H11" s="45"/>
      <c r="I11" s="45"/>
      <c r="J11" s="45"/>
    </row>
    <row r="12" spans="2:10" s="2" customFormat="1" x14ac:dyDescent="0.2"/>
    <row r="13" spans="2:10" s="2" customFormat="1" x14ac:dyDescent="0.2">
      <c r="C13" s="3" t="s">
        <v>2</v>
      </c>
      <c r="D13" s="3"/>
      <c r="E13" s="3"/>
    </row>
    <row r="14" spans="2:10" s="2" customFormat="1" ht="15.75" thickBot="1" x14ac:dyDescent="0.25">
      <c r="C14" s="4"/>
      <c r="D14" s="4"/>
      <c r="E14" s="4"/>
      <c r="I14" s="5"/>
      <c r="J14" s="5"/>
    </row>
    <row r="15" spans="2:10" s="2" customFormat="1" x14ac:dyDescent="0.2">
      <c r="B15" s="24"/>
      <c r="C15" s="13"/>
      <c r="D15" s="13"/>
      <c r="E15" s="13"/>
      <c r="F15" s="55"/>
      <c r="G15" s="45"/>
      <c r="H15" s="5"/>
    </row>
    <row r="16" spans="2:10" s="2" customFormat="1" x14ac:dyDescent="0.2">
      <c r="B16" s="19"/>
      <c r="C16" s="16" t="s">
        <v>108</v>
      </c>
      <c r="D16" s="110">
        <f>((1+D9)/(1+D10))-1</f>
        <v>4.1666666666666519E-2</v>
      </c>
      <c r="E16" s="17"/>
      <c r="F16" s="52"/>
      <c r="G16" s="45"/>
      <c r="H16" s="5"/>
    </row>
    <row r="17" spans="2:10" s="2" customFormat="1" ht="15.75" x14ac:dyDescent="0.25">
      <c r="B17" s="19"/>
      <c r="C17" s="14"/>
      <c r="D17" s="14"/>
      <c r="E17" s="44"/>
      <c r="F17" s="53"/>
      <c r="G17" s="51"/>
      <c r="H17" s="5"/>
    </row>
    <row r="18" spans="2:10" s="2" customFormat="1" ht="15.75" x14ac:dyDescent="0.25">
      <c r="B18" s="19"/>
      <c r="C18" s="14" t="s">
        <v>109</v>
      </c>
      <c r="D18" s="111">
        <f>NOMINAL(D16,52)</f>
        <v>4.0838022129809914E-2</v>
      </c>
      <c r="E18" s="44"/>
      <c r="F18" s="53"/>
      <c r="G18" s="51"/>
      <c r="H18" s="5"/>
    </row>
    <row r="19" spans="2:10" s="2" customFormat="1" ht="15.75" x14ac:dyDescent="0.25">
      <c r="B19" s="19"/>
      <c r="C19" s="14"/>
      <c r="D19" s="14"/>
      <c r="E19" s="44"/>
      <c r="F19" s="53"/>
      <c r="G19" s="51"/>
      <c r="H19" s="5"/>
    </row>
    <row r="20" spans="2:10" s="2" customFormat="1" ht="15.75" x14ac:dyDescent="0.25">
      <c r="B20" s="19"/>
      <c r="C20" s="14" t="s">
        <v>110</v>
      </c>
      <c r="D20" s="111">
        <f>D18/52</f>
        <v>7.8534657941942143E-4</v>
      </c>
      <c r="E20" s="44"/>
      <c r="F20" s="53"/>
      <c r="G20" s="51"/>
      <c r="H20" s="5"/>
    </row>
    <row r="21" spans="2:10" s="2" customFormat="1" ht="15.75" x14ac:dyDescent="0.25">
      <c r="B21" s="19"/>
      <c r="C21" s="14"/>
      <c r="D21" s="71"/>
      <c r="E21" s="44"/>
      <c r="F21" s="53"/>
      <c r="G21" s="51"/>
      <c r="H21" s="5"/>
    </row>
    <row r="22" spans="2:10" s="2" customFormat="1" ht="15.75" x14ac:dyDescent="0.25">
      <c r="B22" s="19"/>
      <c r="C22" s="14" t="s">
        <v>111</v>
      </c>
      <c r="D22" s="72">
        <f>PV(D20,D8*52,-D7)</f>
        <v>7193.1794219190679</v>
      </c>
      <c r="E22" s="40"/>
      <c r="F22" s="54"/>
      <c r="G22" s="51"/>
      <c r="H22" s="5"/>
    </row>
    <row r="23" spans="2:10" s="2" customFormat="1" ht="15" customHeight="1" thickBot="1" x14ac:dyDescent="0.25">
      <c r="B23" s="26"/>
      <c r="C23" s="27"/>
      <c r="D23" s="27"/>
      <c r="E23" s="27"/>
      <c r="F23" s="55"/>
      <c r="G23" s="45"/>
      <c r="H23" s="5"/>
    </row>
    <row r="24" spans="2:10" s="2" customFormat="1" x14ac:dyDescent="0.2">
      <c r="I24" s="5"/>
      <c r="J24" s="5"/>
    </row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21113"/>
  <dimension ref="B1:J40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41" customWidth="1"/>
    <col min="4" max="4" width="17.5703125" bestFit="1" customWidth="1"/>
    <col min="5" max="5" width="3.140625" customWidth="1"/>
    <col min="6" max="7" width="9.140625" style="2" customWidth="1"/>
    <col min="8" max="10" width="9.140625" customWidth="1"/>
  </cols>
  <sheetData>
    <row r="1" spans="2:10" ht="18" x14ac:dyDescent="0.25">
      <c r="C1" s="1" t="s">
        <v>189</v>
      </c>
      <c r="D1" s="1"/>
      <c r="E1" s="1"/>
    </row>
    <row r="2" spans="2:10" x14ac:dyDescent="0.2">
      <c r="C2" s="2" t="s">
        <v>225</v>
      </c>
      <c r="D2" s="2"/>
      <c r="E2" s="2"/>
    </row>
    <row r="4" spans="2:10" x14ac:dyDescent="0.2">
      <c r="C4" s="3" t="s">
        <v>1</v>
      </c>
      <c r="D4" s="3"/>
      <c r="E4" s="3"/>
      <c r="H4" s="2"/>
      <c r="I4" s="2"/>
      <c r="J4" s="2"/>
    </row>
    <row r="5" spans="2:10" s="2" customFormat="1" ht="15.75" thickBot="1" x14ac:dyDescent="0.25">
      <c r="C5" s="4"/>
      <c r="D5" s="4"/>
      <c r="E5" s="4"/>
      <c r="F5" s="5"/>
      <c r="G5" s="5"/>
      <c r="H5" s="5"/>
      <c r="I5" s="5"/>
    </row>
    <row r="6" spans="2:10" s="2" customFormat="1" x14ac:dyDescent="0.2">
      <c r="B6" s="21"/>
      <c r="C6" s="6"/>
      <c r="D6" s="6"/>
      <c r="E6" s="68"/>
      <c r="F6" s="45"/>
      <c r="G6" s="45"/>
      <c r="H6" s="45"/>
      <c r="I6" s="45"/>
      <c r="J6" s="45"/>
    </row>
    <row r="7" spans="2:10" s="2" customFormat="1" x14ac:dyDescent="0.2">
      <c r="B7" s="22"/>
      <c r="C7" s="9" t="s">
        <v>112</v>
      </c>
      <c r="D7" s="108">
        <v>900</v>
      </c>
      <c r="E7" s="69"/>
      <c r="F7" s="45"/>
      <c r="G7" s="64"/>
      <c r="H7" s="45"/>
      <c r="I7" s="45"/>
      <c r="J7" s="45"/>
    </row>
    <row r="8" spans="2:10" s="2" customFormat="1" x14ac:dyDescent="0.2">
      <c r="B8" s="22"/>
      <c r="C8" s="9" t="s">
        <v>115</v>
      </c>
      <c r="D8" s="91">
        <v>0.12</v>
      </c>
      <c r="E8" s="69"/>
      <c r="F8" s="45"/>
      <c r="G8" s="64"/>
      <c r="H8" s="45"/>
      <c r="I8" s="45"/>
      <c r="J8" s="45"/>
    </row>
    <row r="9" spans="2:10" s="2" customFormat="1" x14ac:dyDescent="0.2">
      <c r="B9" s="22"/>
      <c r="C9" s="9" t="s">
        <v>113</v>
      </c>
      <c r="D9" s="108">
        <v>300</v>
      </c>
      <c r="E9" s="69"/>
      <c r="F9" s="45"/>
      <c r="G9" s="64"/>
      <c r="H9" s="67"/>
      <c r="I9" s="45"/>
      <c r="J9" s="45"/>
    </row>
    <row r="10" spans="2:10" s="2" customFormat="1" x14ac:dyDescent="0.2">
      <c r="B10" s="22"/>
      <c r="C10" s="9" t="s">
        <v>114</v>
      </c>
      <c r="D10" s="88">
        <v>7.0000000000000007E-2</v>
      </c>
      <c r="E10" s="70"/>
      <c r="F10" s="45"/>
      <c r="G10" s="65"/>
      <c r="H10" s="66"/>
      <c r="I10" s="45"/>
      <c r="J10" s="45"/>
    </row>
    <row r="11" spans="2:10" s="2" customFormat="1" x14ac:dyDescent="0.2">
      <c r="B11" s="22"/>
      <c r="C11" s="9" t="s">
        <v>22</v>
      </c>
      <c r="D11" s="91">
        <v>0.04</v>
      </c>
      <c r="E11" s="70"/>
      <c r="F11" s="45"/>
      <c r="G11" s="65"/>
      <c r="H11" s="66"/>
      <c r="I11" s="45"/>
      <c r="J11" s="45"/>
    </row>
    <row r="12" spans="2:10" s="2" customFormat="1" x14ac:dyDescent="0.2">
      <c r="B12" s="22"/>
      <c r="C12" s="9" t="s">
        <v>127</v>
      </c>
      <c r="D12" s="91">
        <v>0.08</v>
      </c>
      <c r="E12" s="70"/>
      <c r="F12" s="45"/>
      <c r="G12" s="65"/>
      <c r="H12" s="66"/>
      <c r="I12" s="45"/>
      <c r="J12" s="45"/>
    </row>
    <row r="13" spans="2:10" s="2" customFormat="1" x14ac:dyDescent="0.2">
      <c r="B13" s="22"/>
      <c r="C13" s="9" t="s">
        <v>116</v>
      </c>
      <c r="D13" s="109">
        <v>30</v>
      </c>
      <c r="E13" s="70"/>
      <c r="F13" s="45"/>
      <c r="G13" s="65"/>
      <c r="H13" s="66"/>
      <c r="I13" s="45"/>
      <c r="J13" s="45"/>
    </row>
    <row r="14" spans="2:10" s="2" customFormat="1" x14ac:dyDescent="0.2">
      <c r="B14" s="22"/>
      <c r="C14" s="9" t="s">
        <v>117</v>
      </c>
      <c r="D14" s="109">
        <v>25</v>
      </c>
      <c r="E14" s="70"/>
      <c r="F14" s="45"/>
      <c r="G14" s="65"/>
      <c r="H14" s="66"/>
      <c r="I14" s="45"/>
      <c r="J14" s="45"/>
    </row>
    <row r="15" spans="2:10" s="2" customFormat="1" ht="15" customHeight="1" thickBot="1" x14ac:dyDescent="0.25">
      <c r="B15" s="23"/>
      <c r="C15" s="11"/>
      <c r="D15" s="11"/>
      <c r="E15" s="12"/>
      <c r="F15" s="45"/>
      <c r="G15" s="45"/>
      <c r="H15" s="45"/>
      <c r="I15" s="45"/>
      <c r="J15" s="45"/>
    </row>
    <row r="16" spans="2:10" s="2" customFormat="1" x14ac:dyDescent="0.2"/>
    <row r="17" spans="2:10" s="2" customFormat="1" x14ac:dyDescent="0.2">
      <c r="C17" s="3" t="s">
        <v>2</v>
      </c>
      <c r="D17" s="3"/>
      <c r="E17" s="3"/>
    </row>
    <row r="18" spans="2:10" s="2" customFormat="1" ht="15.75" thickBot="1" x14ac:dyDescent="0.25">
      <c r="C18" s="4"/>
      <c r="D18" s="4"/>
      <c r="E18" s="4"/>
      <c r="I18" s="5"/>
      <c r="J18" s="5"/>
    </row>
    <row r="19" spans="2:10" s="2" customFormat="1" x14ac:dyDescent="0.2">
      <c r="B19" s="24"/>
      <c r="C19" s="13"/>
      <c r="D19" s="13"/>
      <c r="E19" s="13"/>
      <c r="F19" s="55"/>
      <c r="G19" s="45"/>
      <c r="H19" s="5"/>
    </row>
    <row r="20" spans="2:10" s="2" customFormat="1" x14ac:dyDescent="0.2">
      <c r="B20" s="19"/>
      <c r="C20" s="16" t="s">
        <v>118</v>
      </c>
      <c r="D20" s="133">
        <f>((1+D8)/(1+D11))-1</f>
        <v>7.6923076923077094E-2</v>
      </c>
      <c r="E20" s="17"/>
      <c r="F20" s="52"/>
      <c r="G20" s="45"/>
      <c r="H20" s="5"/>
    </row>
    <row r="21" spans="2:10" s="2" customFormat="1" ht="15.75" x14ac:dyDescent="0.25">
      <c r="B21" s="19"/>
      <c r="C21" s="14" t="s">
        <v>119</v>
      </c>
      <c r="D21" s="136">
        <f>NOMINAL(D20,12)</f>
        <v>7.4337276927831653E-2</v>
      </c>
      <c r="E21" s="44"/>
      <c r="F21" s="53"/>
      <c r="G21" s="51"/>
      <c r="H21" s="5"/>
    </row>
    <row r="22" spans="2:10" s="2" customFormat="1" ht="15.75" x14ac:dyDescent="0.25">
      <c r="B22" s="19"/>
      <c r="C22" s="14" t="s">
        <v>120</v>
      </c>
      <c r="D22" s="136">
        <f>D21/12</f>
        <v>6.1947730773193044E-3</v>
      </c>
      <c r="E22" s="44"/>
      <c r="F22" s="53"/>
      <c r="G22" s="51"/>
      <c r="H22" s="5"/>
    </row>
    <row r="23" spans="2:10" s="2" customFormat="1" ht="15.75" x14ac:dyDescent="0.25">
      <c r="B23" s="19"/>
      <c r="C23" s="14" t="s">
        <v>121</v>
      </c>
      <c r="D23" s="112">
        <f>FV(D22,D13*12,-D7)</f>
        <v>1196731.9642359309</v>
      </c>
      <c r="E23" s="44"/>
      <c r="F23" s="53"/>
      <c r="G23" s="51"/>
      <c r="H23" s="5"/>
    </row>
    <row r="24" spans="2:10" s="2" customFormat="1" ht="15.75" x14ac:dyDescent="0.25">
      <c r="B24" s="19"/>
      <c r="C24" s="14"/>
      <c r="D24" s="111"/>
      <c r="E24" s="44"/>
      <c r="F24" s="53"/>
      <c r="G24" s="51"/>
      <c r="H24" s="5"/>
    </row>
    <row r="25" spans="2:10" s="2" customFormat="1" ht="15.75" x14ac:dyDescent="0.25">
      <c r="B25" s="19"/>
      <c r="C25" s="16" t="s">
        <v>124</v>
      </c>
      <c r="D25" s="136">
        <f>((1+D10)/(1+D11))-1</f>
        <v>2.8846153846153966E-2</v>
      </c>
      <c r="E25" s="44"/>
      <c r="F25" s="53"/>
      <c r="G25" s="51"/>
      <c r="H25" s="5"/>
    </row>
    <row r="26" spans="2:10" s="2" customFormat="1" ht="15.75" x14ac:dyDescent="0.25">
      <c r="B26" s="19"/>
      <c r="C26" s="14" t="s">
        <v>125</v>
      </c>
      <c r="D26" s="136">
        <f>NOMINAL(D25,12)</f>
        <v>2.8471658461505456E-2</v>
      </c>
      <c r="E26" s="44"/>
      <c r="F26" s="53"/>
      <c r="G26" s="51"/>
      <c r="H26" s="5"/>
    </row>
    <row r="27" spans="2:10" s="2" customFormat="1" ht="15.75" x14ac:dyDescent="0.25">
      <c r="B27" s="19"/>
      <c r="C27" s="14" t="s">
        <v>122</v>
      </c>
      <c r="D27" s="136">
        <f>D26/12</f>
        <v>2.3726382051254546E-3</v>
      </c>
      <c r="E27" s="44"/>
      <c r="F27" s="53"/>
      <c r="G27" s="51"/>
      <c r="H27" s="5"/>
    </row>
    <row r="28" spans="2:10" s="2" customFormat="1" ht="15.75" x14ac:dyDescent="0.25">
      <c r="B28" s="19"/>
      <c r="C28" s="14" t="s">
        <v>123</v>
      </c>
      <c r="D28" s="112">
        <f>FV(D27,D13*12,-D9)</f>
        <v>170316.78055056653</v>
      </c>
      <c r="E28" s="44"/>
      <c r="F28" s="53"/>
      <c r="G28" s="51"/>
      <c r="H28" s="5"/>
    </row>
    <row r="29" spans="2:10" s="2" customFormat="1" ht="15.75" x14ac:dyDescent="0.25">
      <c r="B29" s="19"/>
      <c r="C29" s="14"/>
      <c r="D29" s="111"/>
      <c r="E29" s="44"/>
      <c r="F29" s="53"/>
      <c r="G29" s="51"/>
      <c r="H29" s="5"/>
    </row>
    <row r="30" spans="2:10" s="2" customFormat="1" ht="15.75" x14ac:dyDescent="0.25">
      <c r="B30" s="19"/>
      <c r="C30" s="14" t="s">
        <v>126</v>
      </c>
      <c r="D30" s="112">
        <f>D23+D28</f>
        <v>1367048.7447864974</v>
      </c>
      <c r="E30" s="44"/>
      <c r="F30" s="53"/>
      <c r="G30" s="51"/>
      <c r="H30" s="5"/>
    </row>
    <row r="31" spans="2:10" s="2" customFormat="1" ht="15.75" x14ac:dyDescent="0.25">
      <c r="B31" s="19"/>
      <c r="C31" s="14"/>
      <c r="D31" s="112"/>
      <c r="E31" s="44"/>
      <c r="F31" s="53"/>
      <c r="G31" s="51"/>
      <c r="H31" s="5"/>
    </row>
    <row r="32" spans="2:10" s="2" customFormat="1" ht="15.75" x14ac:dyDescent="0.25">
      <c r="B32" s="19"/>
      <c r="C32" s="14" t="s">
        <v>128</v>
      </c>
      <c r="D32" s="136">
        <f>((1+D12)/(1+D11))-1</f>
        <v>3.8461538461538547E-2</v>
      </c>
      <c r="E32" s="44"/>
      <c r="F32" s="53"/>
      <c r="G32" s="51"/>
      <c r="H32" s="5"/>
    </row>
    <row r="33" spans="2:10" s="2" customFormat="1" ht="15.75" x14ac:dyDescent="0.25">
      <c r="B33" s="19"/>
      <c r="C33" s="14" t="s">
        <v>129</v>
      </c>
      <c r="D33" s="136">
        <f>NOMINAL(D32,12)</f>
        <v>3.7799737429474511E-2</v>
      </c>
      <c r="E33" s="44"/>
      <c r="F33" s="53"/>
      <c r="G33" s="51"/>
      <c r="H33" s="5"/>
    </row>
    <row r="34" spans="2:10" s="2" customFormat="1" ht="15.75" x14ac:dyDescent="0.25">
      <c r="B34" s="19"/>
      <c r="C34" s="14" t="s">
        <v>130</v>
      </c>
      <c r="D34" s="136">
        <f>D33/12</f>
        <v>3.149978119122876E-3</v>
      </c>
      <c r="E34" s="44"/>
      <c r="F34" s="53"/>
      <c r="G34" s="51"/>
      <c r="H34" s="5"/>
    </row>
    <row r="35" spans="2:10" s="2" customFormat="1" ht="15.75" x14ac:dyDescent="0.25">
      <c r="B35" s="19"/>
      <c r="C35" s="14"/>
      <c r="D35" s="71"/>
      <c r="E35" s="44"/>
      <c r="F35" s="53"/>
      <c r="G35" s="51"/>
      <c r="H35" s="5"/>
    </row>
    <row r="36" spans="2:10" s="2" customFormat="1" ht="15.75" x14ac:dyDescent="0.25">
      <c r="B36" s="19"/>
      <c r="C36" s="14" t="s">
        <v>111</v>
      </c>
      <c r="D36" s="72">
        <f>PMT(D34,D14*12,-D30)</f>
        <v>7050.7457793487702</v>
      </c>
      <c r="E36" s="40"/>
      <c r="F36" s="54"/>
      <c r="G36" s="51"/>
      <c r="H36" s="5"/>
    </row>
    <row r="37" spans="2:10" s="2" customFormat="1" ht="15.75" x14ac:dyDescent="0.25">
      <c r="B37" s="19"/>
      <c r="C37" s="14"/>
      <c r="D37" s="113"/>
      <c r="E37" s="40"/>
      <c r="F37" s="54"/>
      <c r="G37" s="51"/>
      <c r="H37" s="5"/>
    </row>
    <row r="38" spans="2:10" s="2" customFormat="1" ht="15.75" x14ac:dyDescent="0.25">
      <c r="B38" s="19"/>
      <c r="C38" s="14" t="s">
        <v>253</v>
      </c>
      <c r="D38" s="72">
        <f>FV(D11,D13+D14,0,-D36)</f>
        <v>60963.335065685817</v>
      </c>
      <c r="E38" s="40"/>
      <c r="F38" s="54"/>
      <c r="G38" s="51"/>
      <c r="H38" s="5"/>
    </row>
    <row r="39" spans="2:10" s="2" customFormat="1" ht="15" customHeight="1" thickBot="1" x14ac:dyDescent="0.25">
      <c r="B39" s="26"/>
      <c r="C39" s="27"/>
      <c r="D39" s="27"/>
      <c r="E39" s="27"/>
      <c r="F39" s="55"/>
      <c r="G39" s="45"/>
      <c r="H39" s="5"/>
    </row>
    <row r="40" spans="2:10" s="2" customFormat="1" x14ac:dyDescent="0.2">
      <c r="I40" s="5"/>
      <c r="J40" s="5"/>
    </row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21114"/>
  <dimension ref="B1:J43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41" customWidth="1"/>
    <col min="4" max="4" width="17.5703125" bestFit="1" customWidth="1"/>
    <col min="5" max="5" width="3.140625" customWidth="1"/>
    <col min="6" max="7" width="17.140625" style="2" customWidth="1"/>
    <col min="8" max="8" width="3.140625" customWidth="1"/>
    <col min="9" max="10" width="9.140625" customWidth="1"/>
  </cols>
  <sheetData>
    <row r="1" spans="2:10" ht="18" x14ac:dyDescent="0.25">
      <c r="C1" s="1" t="s">
        <v>189</v>
      </c>
      <c r="D1" s="1"/>
      <c r="E1" s="1"/>
    </row>
    <row r="2" spans="2:10" x14ac:dyDescent="0.2">
      <c r="C2" s="2" t="s">
        <v>224</v>
      </c>
      <c r="D2" s="2"/>
      <c r="E2" s="2"/>
    </row>
    <row r="4" spans="2:10" x14ac:dyDescent="0.2">
      <c r="C4" s="3" t="s">
        <v>1</v>
      </c>
      <c r="D4" s="3"/>
      <c r="E4" s="3"/>
      <c r="H4" s="2"/>
      <c r="I4" s="2"/>
      <c r="J4" s="2"/>
    </row>
    <row r="5" spans="2:10" s="2" customFormat="1" ht="15.75" thickBot="1" x14ac:dyDescent="0.25">
      <c r="C5" s="4"/>
      <c r="D5" s="4"/>
      <c r="E5" s="4"/>
      <c r="F5" s="5"/>
      <c r="G5" s="5"/>
      <c r="H5" s="5"/>
      <c r="I5" s="5"/>
    </row>
    <row r="6" spans="2:10" s="2" customFormat="1" x14ac:dyDescent="0.2">
      <c r="B6" s="21"/>
      <c r="C6" s="6"/>
      <c r="D6" s="6"/>
      <c r="E6" s="68"/>
      <c r="F6" s="45"/>
      <c r="G6" s="45"/>
      <c r="H6" s="45"/>
      <c r="I6" s="45"/>
      <c r="J6" s="45"/>
    </row>
    <row r="7" spans="2:10" s="2" customFormat="1" x14ac:dyDescent="0.2">
      <c r="B7" s="22"/>
      <c r="C7" s="9" t="s">
        <v>131</v>
      </c>
      <c r="D7" s="108">
        <v>400</v>
      </c>
      <c r="E7" s="69"/>
      <c r="F7" s="45"/>
      <c r="G7" s="64"/>
      <c r="H7" s="45"/>
      <c r="I7" s="45"/>
      <c r="J7" s="45"/>
    </row>
    <row r="8" spans="2:10" s="2" customFormat="1" x14ac:dyDescent="0.2">
      <c r="B8" s="22"/>
      <c r="C8" s="9" t="s">
        <v>132</v>
      </c>
      <c r="D8" s="109">
        <v>700</v>
      </c>
      <c r="E8" s="69"/>
      <c r="F8" s="45"/>
      <c r="G8" s="64"/>
      <c r="H8" s="45"/>
      <c r="I8" s="45"/>
      <c r="J8" s="45"/>
    </row>
    <row r="9" spans="2:10" s="2" customFormat="1" x14ac:dyDescent="0.2">
      <c r="B9" s="22"/>
      <c r="C9" s="9" t="s">
        <v>133</v>
      </c>
      <c r="D9" s="91">
        <v>0.06</v>
      </c>
      <c r="E9" s="69"/>
      <c r="F9" s="45"/>
      <c r="G9" s="64"/>
      <c r="H9" s="67"/>
      <c r="I9" s="45"/>
      <c r="J9" s="45"/>
    </row>
    <row r="10" spans="2:10" s="2" customFormat="1" x14ac:dyDescent="0.2">
      <c r="B10" s="22"/>
      <c r="C10" s="9" t="s">
        <v>134</v>
      </c>
      <c r="D10" s="91">
        <v>0.03</v>
      </c>
      <c r="E10" s="70"/>
      <c r="F10" s="45"/>
      <c r="G10" s="65"/>
      <c r="H10" s="66"/>
      <c r="I10" s="45"/>
      <c r="J10" s="45"/>
    </row>
    <row r="11" spans="2:10" s="2" customFormat="1" x14ac:dyDescent="0.2">
      <c r="B11" s="22"/>
      <c r="C11" s="9" t="s">
        <v>135</v>
      </c>
      <c r="D11" s="108">
        <v>125000</v>
      </c>
      <c r="E11" s="70"/>
      <c r="F11" s="45"/>
      <c r="G11" s="65"/>
      <c r="H11" s="66"/>
      <c r="I11" s="45"/>
      <c r="J11" s="45"/>
    </row>
    <row r="12" spans="2:10" s="2" customFormat="1" x14ac:dyDescent="0.2">
      <c r="B12" s="22"/>
      <c r="C12" s="9" t="s">
        <v>143</v>
      </c>
      <c r="D12" s="91">
        <v>0.02</v>
      </c>
      <c r="E12" s="70"/>
      <c r="F12" s="45"/>
      <c r="G12" s="65"/>
      <c r="H12" s="66"/>
      <c r="I12" s="45"/>
      <c r="J12" s="45"/>
    </row>
    <row r="13" spans="2:10" s="2" customFormat="1" x14ac:dyDescent="0.2">
      <c r="B13" s="22"/>
      <c r="C13" s="9" t="s">
        <v>136</v>
      </c>
      <c r="D13" s="108">
        <v>500000</v>
      </c>
      <c r="E13" s="70"/>
      <c r="F13" s="45"/>
      <c r="G13" s="65"/>
      <c r="H13" s="66"/>
      <c r="I13" s="45"/>
      <c r="J13" s="45"/>
    </row>
    <row r="14" spans="2:10" s="2" customFormat="1" x14ac:dyDescent="0.2">
      <c r="B14" s="22"/>
      <c r="C14" s="9" t="s">
        <v>117</v>
      </c>
      <c r="D14" s="109">
        <v>25</v>
      </c>
      <c r="E14" s="70"/>
      <c r="F14" s="45"/>
      <c r="G14" s="65"/>
      <c r="H14" s="66"/>
      <c r="I14" s="45"/>
      <c r="J14" s="45"/>
    </row>
    <row r="15" spans="2:10" s="2" customFormat="1" x14ac:dyDescent="0.2">
      <c r="B15" s="22"/>
      <c r="C15" s="9" t="s">
        <v>137</v>
      </c>
      <c r="D15" s="91">
        <v>0.09</v>
      </c>
      <c r="E15" s="70"/>
      <c r="F15" s="45"/>
      <c r="G15" s="65"/>
      <c r="H15" s="66"/>
      <c r="I15" s="45"/>
      <c r="J15" s="45"/>
    </row>
    <row r="16" spans="2:10" s="2" customFormat="1" ht="15" customHeight="1" thickBot="1" x14ac:dyDescent="0.25">
      <c r="B16" s="23"/>
      <c r="C16" s="11"/>
      <c r="D16" s="11"/>
      <c r="E16" s="12"/>
      <c r="F16" s="45"/>
      <c r="G16" s="45"/>
      <c r="H16" s="45"/>
      <c r="I16" s="45"/>
      <c r="J16" s="45"/>
    </row>
    <row r="17" spans="2:10" s="2" customFormat="1" x14ac:dyDescent="0.2"/>
    <row r="18" spans="2:10" s="2" customFormat="1" x14ac:dyDescent="0.2">
      <c r="C18" s="3" t="s">
        <v>2</v>
      </c>
      <c r="D18" s="3"/>
      <c r="E18" s="3"/>
    </row>
    <row r="19" spans="2:10" s="2" customFormat="1" ht="15.75" thickBot="1" x14ac:dyDescent="0.25">
      <c r="C19" s="4"/>
      <c r="D19" s="4"/>
      <c r="E19" s="4"/>
      <c r="I19" s="5"/>
      <c r="J19" s="5"/>
    </row>
    <row r="20" spans="2:10" s="2" customFormat="1" x14ac:dyDescent="0.2">
      <c r="B20" s="24"/>
      <c r="C20" s="13"/>
      <c r="D20" s="13"/>
      <c r="E20" s="13"/>
      <c r="F20" s="13"/>
      <c r="G20" s="13"/>
      <c r="H20" s="25"/>
    </row>
    <row r="21" spans="2:10" s="2" customFormat="1" x14ac:dyDescent="0.2">
      <c r="B21" s="19"/>
      <c r="C21" s="16" t="s">
        <v>138</v>
      </c>
      <c r="D21" s="110">
        <f>((1+D9)*(1+D10))-1</f>
        <v>9.1800000000000104E-2</v>
      </c>
      <c r="E21" s="17"/>
      <c r="F21" s="17"/>
      <c r="G21" s="16"/>
      <c r="H21" s="20"/>
    </row>
    <row r="22" spans="2:10" s="2" customFormat="1" x14ac:dyDescent="0.2">
      <c r="B22" s="19"/>
      <c r="C22" s="16" t="s">
        <v>144</v>
      </c>
      <c r="D22" s="120">
        <f>D8*D7</f>
        <v>280000</v>
      </c>
      <c r="E22" s="17"/>
      <c r="F22" s="17"/>
      <c r="G22" s="16"/>
      <c r="H22" s="20"/>
    </row>
    <row r="23" spans="2:10" s="2" customFormat="1" ht="15.75" x14ac:dyDescent="0.25">
      <c r="B23" s="19"/>
      <c r="C23" s="14"/>
      <c r="D23" s="111"/>
      <c r="E23" s="44"/>
      <c r="F23" s="44"/>
      <c r="G23" s="15"/>
      <c r="H23" s="20"/>
    </row>
    <row r="24" spans="2:10" s="2" customFormat="1" x14ac:dyDescent="0.2">
      <c r="B24" s="19"/>
      <c r="C24" s="116" t="s">
        <v>139</v>
      </c>
      <c r="D24" s="117" t="s">
        <v>140</v>
      </c>
      <c r="E24" s="118"/>
      <c r="F24" s="118" t="s">
        <v>141</v>
      </c>
      <c r="G24" s="125" t="s">
        <v>142</v>
      </c>
      <c r="H24" s="20"/>
    </row>
    <row r="25" spans="2:10" s="2" customFormat="1" x14ac:dyDescent="0.2">
      <c r="B25" s="19"/>
      <c r="C25" s="115">
        <v>1</v>
      </c>
      <c r="D25" s="112">
        <f>D22*(1+D21)</f>
        <v>305704</v>
      </c>
      <c r="E25" s="62"/>
      <c r="F25" s="127">
        <f>D11*(1+D12)</f>
        <v>127500</v>
      </c>
      <c r="G25" s="40">
        <f>D25-F25</f>
        <v>178204</v>
      </c>
      <c r="H25" s="20"/>
    </row>
    <row r="26" spans="2:10" s="2" customFormat="1" x14ac:dyDescent="0.2">
      <c r="B26" s="19"/>
      <c r="C26" s="115">
        <v>2</v>
      </c>
      <c r="D26" s="119">
        <f>D25*(1+$D$21)</f>
        <v>333767.62720000005</v>
      </c>
      <c r="E26" s="102"/>
      <c r="F26" s="102">
        <f>F25*(1+$D$12)</f>
        <v>130050</v>
      </c>
      <c r="G26" s="126">
        <f>D26-F26</f>
        <v>203717.62720000005</v>
      </c>
      <c r="H26" s="20"/>
    </row>
    <row r="27" spans="2:10" s="2" customFormat="1" x14ac:dyDescent="0.2">
      <c r="B27" s="19"/>
      <c r="C27" s="115">
        <v>3</v>
      </c>
      <c r="D27" s="119">
        <f>D26*(1+$D$21)</f>
        <v>364407.49537696008</v>
      </c>
      <c r="E27" s="102"/>
      <c r="F27" s="102">
        <f>F26*(1+$D$12)</f>
        <v>132651</v>
      </c>
      <c r="G27" s="126">
        <f>D27-F27</f>
        <v>231756.49537696008</v>
      </c>
      <c r="H27" s="20"/>
    </row>
    <row r="28" spans="2:10" s="2" customFormat="1" x14ac:dyDescent="0.2">
      <c r="B28" s="19"/>
      <c r="C28" s="115">
        <v>4</v>
      </c>
      <c r="D28" s="119">
        <f>D27*(1+$D$21)</f>
        <v>397860.10345256503</v>
      </c>
      <c r="E28" s="102"/>
      <c r="F28" s="102">
        <f>F27*(1+$D$12)</f>
        <v>135304.01999999999</v>
      </c>
      <c r="G28" s="126">
        <f>D28-F28</f>
        <v>262556.08345256501</v>
      </c>
      <c r="H28" s="20"/>
    </row>
    <row r="29" spans="2:10" s="2" customFormat="1" x14ac:dyDescent="0.2">
      <c r="B29" s="19"/>
      <c r="C29" s="115">
        <v>5</v>
      </c>
      <c r="D29" s="119">
        <f>D28*(1+$D$21)</f>
        <v>434383.66094951052</v>
      </c>
      <c r="E29" s="102"/>
      <c r="F29" s="102">
        <f>F28*(1+$D$12)</f>
        <v>138010.1004</v>
      </c>
      <c r="G29" s="126">
        <f>D29-F29</f>
        <v>296373.56054951053</v>
      </c>
      <c r="H29" s="20"/>
    </row>
    <row r="30" spans="2:10" s="2" customFormat="1" ht="15.75" x14ac:dyDescent="0.25">
      <c r="B30" s="19"/>
      <c r="C30" s="14"/>
      <c r="D30" s="112"/>
      <c r="E30" s="44"/>
      <c r="F30" s="44"/>
      <c r="G30" s="15"/>
      <c r="H30" s="20"/>
    </row>
    <row r="31" spans="2:10" s="2" customFormat="1" ht="15.75" x14ac:dyDescent="0.25">
      <c r="B31" s="19"/>
      <c r="C31" s="14" t="s">
        <v>145</v>
      </c>
      <c r="D31" s="111"/>
      <c r="E31" s="44"/>
      <c r="F31" s="44"/>
      <c r="G31" s="15"/>
      <c r="H31" s="20"/>
    </row>
    <row r="32" spans="2:10" s="2" customFormat="1" ht="15.75" x14ac:dyDescent="0.25">
      <c r="B32" s="19"/>
      <c r="C32" s="115">
        <v>1</v>
      </c>
      <c r="D32" s="112">
        <f>FV($D$15,4,0,-G25)</f>
        <v>251549.48922844004</v>
      </c>
      <c r="E32" s="44"/>
      <c r="F32" s="44"/>
      <c r="G32" s="15"/>
      <c r="H32" s="20"/>
    </row>
    <row r="33" spans="2:10" s="2" customFormat="1" ht="15.75" x14ac:dyDescent="0.25">
      <c r="B33" s="19"/>
      <c r="C33" s="115">
        <v>2</v>
      </c>
      <c r="D33" s="121">
        <f>FV($D$15,3,0,-G26)</f>
        <v>263820.2350351889</v>
      </c>
      <c r="E33" s="44"/>
      <c r="F33" s="44"/>
      <c r="G33" s="15"/>
      <c r="H33" s="20"/>
    </row>
    <row r="34" spans="2:10" s="2" customFormat="1" ht="15.75" x14ac:dyDescent="0.25">
      <c r="B34" s="19"/>
      <c r="C34" s="115">
        <v>3</v>
      </c>
      <c r="D34" s="121">
        <f>FV($D$15,2,0,-G27)</f>
        <v>275349.89215736632</v>
      </c>
      <c r="E34" s="44"/>
      <c r="F34" s="44"/>
      <c r="G34" s="15"/>
      <c r="H34" s="20"/>
    </row>
    <row r="35" spans="2:10" s="2" customFormat="1" ht="15.75" x14ac:dyDescent="0.25">
      <c r="B35" s="19"/>
      <c r="C35" s="115">
        <v>4</v>
      </c>
      <c r="D35" s="121">
        <f>FV($D$15,1,0,-G28)</f>
        <v>286186.13096329587</v>
      </c>
      <c r="E35" s="44"/>
      <c r="F35" s="44"/>
      <c r="G35" s="15"/>
      <c r="H35" s="20"/>
    </row>
    <row r="36" spans="2:10" s="2" customFormat="1" ht="15.75" x14ac:dyDescent="0.25">
      <c r="B36" s="19"/>
      <c r="C36" s="115">
        <v>5</v>
      </c>
      <c r="D36" s="122">
        <f>G29</f>
        <v>296373.56054951053</v>
      </c>
      <c r="E36" s="44"/>
      <c r="F36" s="44"/>
      <c r="G36" s="15"/>
      <c r="H36" s="20"/>
    </row>
    <row r="37" spans="2:10" s="2" customFormat="1" ht="15.75" x14ac:dyDescent="0.25">
      <c r="B37" s="19"/>
      <c r="C37" s="14" t="s">
        <v>146</v>
      </c>
      <c r="D37" s="123">
        <f>SUM(D32:D36)</f>
        <v>1373279.3079338018</v>
      </c>
      <c r="E37" s="44"/>
      <c r="F37" s="44"/>
      <c r="G37" s="15"/>
      <c r="H37" s="20"/>
    </row>
    <row r="38" spans="2:10" s="2" customFormat="1" ht="15.75" x14ac:dyDescent="0.25">
      <c r="B38" s="19"/>
      <c r="C38" s="14"/>
      <c r="D38" s="114"/>
      <c r="E38" s="40"/>
      <c r="F38" s="40"/>
      <c r="G38" s="15"/>
      <c r="H38" s="20"/>
    </row>
    <row r="39" spans="2:10" s="2" customFormat="1" x14ac:dyDescent="0.2">
      <c r="B39" s="19"/>
      <c r="C39" s="14" t="s">
        <v>147</v>
      </c>
      <c r="D39" s="124">
        <f>D37-D13</f>
        <v>873279.30793380179</v>
      </c>
      <c r="E39" s="40"/>
      <c r="F39" s="40"/>
      <c r="G39" s="15"/>
      <c r="H39" s="20"/>
    </row>
    <row r="40" spans="2:10" s="2" customFormat="1" x14ac:dyDescent="0.2">
      <c r="B40" s="19"/>
      <c r="C40" s="14"/>
      <c r="D40" s="124"/>
      <c r="E40" s="40"/>
      <c r="F40" s="40"/>
      <c r="G40" s="15"/>
      <c r="H40" s="20"/>
    </row>
    <row r="41" spans="2:10" s="2" customFormat="1" ht="15.75" x14ac:dyDescent="0.25">
      <c r="B41" s="19"/>
      <c r="C41" s="14" t="s">
        <v>148</v>
      </c>
      <c r="D41" s="72">
        <f>PMT(D15,D14,-D39)</f>
        <v>88905.291996193657</v>
      </c>
      <c r="E41" s="40"/>
      <c r="F41" s="40"/>
      <c r="G41" s="15"/>
      <c r="H41" s="20"/>
    </row>
    <row r="42" spans="2:10" s="2" customFormat="1" ht="15" customHeight="1" thickBot="1" x14ac:dyDescent="0.25">
      <c r="B42" s="26"/>
      <c r="C42" s="27"/>
      <c r="D42" s="27"/>
      <c r="E42" s="27"/>
      <c r="F42" s="27"/>
      <c r="G42" s="27"/>
      <c r="H42" s="28"/>
    </row>
    <row r="43" spans="2:10" s="2" customFormat="1" x14ac:dyDescent="0.2">
      <c r="I43" s="5"/>
      <c r="J43" s="5"/>
    </row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2"/>
  <dimension ref="B1:E2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7109375" customWidth="1"/>
    <col min="4" max="4" width="13" customWidth="1"/>
    <col min="5" max="5" width="3.140625" customWidth="1"/>
  </cols>
  <sheetData>
    <row r="1" spans="2:5" ht="18" x14ac:dyDescent="0.25">
      <c r="C1" s="1" t="s">
        <v>189</v>
      </c>
    </row>
    <row r="2" spans="2:5" ht="15" x14ac:dyDescent="0.2">
      <c r="C2" s="2" t="s">
        <v>4</v>
      </c>
    </row>
    <row r="4" spans="2:5" ht="15" x14ac:dyDescent="0.2">
      <c r="C4" s="3" t="s">
        <v>1</v>
      </c>
      <c r="D4" s="2"/>
      <c r="E4" s="2"/>
    </row>
    <row r="5" spans="2:5" s="2" customFormat="1" ht="15.75" thickBot="1" x14ac:dyDescent="0.25">
      <c r="C5" s="4"/>
      <c r="D5" s="5"/>
    </row>
    <row r="6" spans="2:5" s="2" customFormat="1" ht="15" x14ac:dyDescent="0.2">
      <c r="B6" s="21"/>
      <c r="C6" s="6"/>
      <c r="D6" s="7"/>
      <c r="E6" s="8"/>
    </row>
    <row r="7" spans="2:5" s="2" customFormat="1" ht="15" x14ac:dyDescent="0.2">
      <c r="B7" s="22"/>
      <c r="C7" s="9" t="s">
        <v>8</v>
      </c>
      <c r="D7" s="86">
        <v>36526</v>
      </c>
      <c r="E7" s="10"/>
    </row>
    <row r="8" spans="2:5" s="2" customFormat="1" ht="15" x14ac:dyDescent="0.2">
      <c r="B8" s="22"/>
      <c r="C8" s="9" t="s">
        <v>9</v>
      </c>
      <c r="D8" s="87">
        <v>41275</v>
      </c>
      <c r="E8" s="10"/>
    </row>
    <row r="9" spans="2:5" s="2" customFormat="1" ht="15" x14ac:dyDescent="0.2">
      <c r="B9" s="22"/>
      <c r="C9" s="9" t="s">
        <v>10</v>
      </c>
      <c r="D9" s="92">
        <v>6.2E-2</v>
      </c>
      <c r="E9" s="10"/>
    </row>
    <row r="10" spans="2:5" s="2" customFormat="1" ht="15" x14ac:dyDescent="0.2">
      <c r="B10" s="22"/>
      <c r="C10" s="9" t="s">
        <v>11</v>
      </c>
      <c r="D10" s="89">
        <v>2</v>
      </c>
      <c r="E10" s="10"/>
    </row>
    <row r="11" spans="2:5" s="2" customFormat="1" ht="15" x14ac:dyDescent="0.2">
      <c r="B11" s="22"/>
      <c r="C11" s="9" t="s">
        <v>12</v>
      </c>
      <c r="D11" s="89">
        <v>100</v>
      </c>
      <c r="E11" s="10"/>
    </row>
    <row r="12" spans="2:5" s="2" customFormat="1" ht="15" x14ac:dyDescent="0.2">
      <c r="B12" s="22"/>
      <c r="C12" s="9" t="s">
        <v>13</v>
      </c>
      <c r="D12" s="89">
        <v>98</v>
      </c>
      <c r="E12" s="10"/>
    </row>
    <row r="13" spans="2:5" s="2" customFormat="1" ht="15" customHeight="1" thickBot="1" x14ac:dyDescent="0.25">
      <c r="B13" s="23"/>
      <c r="C13" s="11"/>
      <c r="D13" s="11"/>
      <c r="E13" s="12"/>
    </row>
    <row r="14" spans="2:5" s="2" customFormat="1" ht="15" x14ac:dyDescent="0.2"/>
    <row r="15" spans="2:5" s="2" customFormat="1" ht="15" x14ac:dyDescent="0.2">
      <c r="C15" s="3" t="s">
        <v>2</v>
      </c>
    </row>
    <row r="16" spans="2:5" s="2" customFormat="1" ht="15.75" thickBot="1" x14ac:dyDescent="0.25">
      <c r="C16" s="4"/>
    </row>
    <row r="17" spans="2:5" s="2" customFormat="1" ht="15" x14ac:dyDescent="0.2">
      <c r="B17" s="24"/>
      <c r="C17" s="13"/>
      <c r="D17" s="13"/>
      <c r="E17" s="25"/>
    </row>
    <row r="18" spans="2:5" s="2" customFormat="1" ht="15.75" x14ac:dyDescent="0.25">
      <c r="B18" s="19"/>
      <c r="C18" s="14" t="s">
        <v>159</v>
      </c>
      <c r="D18" s="31">
        <f>YIELD(D7,D8,D9,D12,D11,D10)</f>
        <v>6.4293164520414073E-2</v>
      </c>
      <c r="E18" s="30"/>
    </row>
    <row r="19" spans="2:5" s="2" customFormat="1" ht="15" customHeight="1" thickBot="1" x14ac:dyDescent="0.25">
      <c r="B19" s="26"/>
      <c r="C19" s="27"/>
      <c r="D19" s="27"/>
      <c r="E19" s="28"/>
    </row>
    <row r="20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2"/>
  <dimension ref="B1:F24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6.5703125" bestFit="1" customWidth="1"/>
    <col min="4" max="4" width="17.140625" customWidth="1"/>
    <col min="5" max="5" width="3.140625" customWidth="1"/>
    <col min="6" max="7" width="9.140625" customWidth="1"/>
  </cols>
  <sheetData>
    <row r="1" spans="2:6" ht="18" x14ac:dyDescent="0.25">
      <c r="C1" s="1" t="s">
        <v>189</v>
      </c>
    </row>
    <row r="2" spans="2:6" ht="15" x14ac:dyDescent="0.2">
      <c r="C2" s="2" t="s">
        <v>7</v>
      </c>
    </row>
    <row r="4" spans="2:6" ht="15" x14ac:dyDescent="0.2">
      <c r="C4" s="3" t="s">
        <v>1</v>
      </c>
      <c r="D4" s="2"/>
      <c r="E4" s="2"/>
      <c r="F4" s="2"/>
    </row>
    <row r="5" spans="2:6" s="2" customFormat="1" ht="15.75" thickBot="1" x14ac:dyDescent="0.25">
      <c r="C5" s="4"/>
      <c r="D5" s="5"/>
    </row>
    <row r="6" spans="2:6" s="2" customFormat="1" ht="15" x14ac:dyDescent="0.2">
      <c r="B6" s="21"/>
      <c r="C6" s="6"/>
      <c r="D6" s="7"/>
      <c r="E6" s="8"/>
    </row>
    <row r="7" spans="2:6" s="2" customFormat="1" ht="15" x14ac:dyDescent="0.2">
      <c r="B7" s="22"/>
      <c r="C7" s="9" t="s">
        <v>54</v>
      </c>
      <c r="D7" s="101">
        <v>11.5</v>
      </c>
      <c r="E7" s="10"/>
    </row>
    <row r="8" spans="2:6" s="2" customFormat="1" ht="15" x14ac:dyDescent="0.2">
      <c r="B8" s="22"/>
      <c r="C8" s="9" t="s">
        <v>11</v>
      </c>
      <c r="D8" s="89">
        <v>2</v>
      </c>
      <c r="E8" s="10"/>
    </row>
    <row r="9" spans="2:6" s="2" customFormat="1" ht="15" x14ac:dyDescent="0.2">
      <c r="B9" s="22"/>
      <c r="C9" s="9" t="s">
        <v>15</v>
      </c>
      <c r="D9" s="90">
        <v>1000</v>
      </c>
      <c r="E9" s="10"/>
    </row>
    <row r="10" spans="2:6" s="2" customFormat="1" ht="15" x14ac:dyDescent="0.2">
      <c r="B10" s="22"/>
      <c r="C10" s="9" t="s">
        <v>16</v>
      </c>
      <c r="D10" s="107">
        <v>1055</v>
      </c>
      <c r="E10" s="10"/>
    </row>
    <row r="11" spans="2:6" s="2" customFormat="1" ht="15" x14ac:dyDescent="0.2">
      <c r="B11" s="22"/>
      <c r="C11" s="9" t="s">
        <v>6</v>
      </c>
      <c r="D11" s="95">
        <v>6.8000000000000005E-2</v>
      </c>
      <c r="E11" s="10"/>
    </row>
    <row r="12" spans="2:6" s="2" customFormat="1" ht="15" customHeight="1" thickBot="1" x14ac:dyDescent="0.25">
      <c r="B12" s="23"/>
      <c r="C12" s="11"/>
      <c r="D12" s="11"/>
      <c r="E12" s="12"/>
    </row>
    <row r="13" spans="2:6" s="2" customFormat="1" ht="15" x14ac:dyDescent="0.2"/>
    <row r="14" spans="2:6" s="2" customFormat="1" ht="15" x14ac:dyDescent="0.2">
      <c r="C14" s="3" t="s">
        <v>2</v>
      </c>
    </row>
    <row r="15" spans="2:6" s="2" customFormat="1" ht="15.75" thickBot="1" x14ac:dyDescent="0.25">
      <c r="C15" s="4"/>
    </row>
    <row r="16" spans="2:6" s="2" customFormat="1" ht="15" x14ac:dyDescent="0.2">
      <c r="B16" s="24"/>
      <c r="C16" s="13"/>
      <c r="D16" s="13"/>
      <c r="E16" s="25"/>
    </row>
    <row r="17" spans="2:5" s="2" customFormat="1" ht="15" x14ac:dyDescent="0.2">
      <c r="B17" s="19"/>
      <c r="C17" s="14" t="s">
        <v>177</v>
      </c>
      <c r="D17" s="38">
        <f>D9/(1+D11/D8)^(D7*D8)</f>
        <v>463.47638249237986</v>
      </c>
      <c r="E17" s="20"/>
    </row>
    <row r="18" spans="2:5" s="2" customFormat="1" ht="15" x14ac:dyDescent="0.2">
      <c r="B18" s="19"/>
      <c r="C18" s="16" t="s">
        <v>178</v>
      </c>
      <c r="D18" s="134">
        <f>D10-D17</f>
        <v>591.5236175076202</v>
      </c>
      <c r="E18" s="20"/>
    </row>
    <row r="19" spans="2:5" s="2" customFormat="1" ht="15" x14ac:dyDescent="0.2">
      <c r="B19" s="19"/>
      <c r="C19" s="16" t="s">
        <v>180</v>
      </c>
      <c r="D19" s="127">
        <f>-PMT(D11/D8,D7*2,D18)</f>
        <v>37.485401087629548</v>
      </c>
      <c r="E19" s="20"/>
    </row>
    <row r="20" spans="2:5" s="2" customFormat="1" ht="15" x14ac:dyDescent="0.2">
      <c r="B20" s="19"/>
      <c r="C20" s="16" t="s">
        <v>181</v>
      </c>
      <c r="D20" s="127">
        <f>D19*2</f>
        <v>74.970802175259095</v>
      </c>
      <c r="E20" s="20"/>
    </row>
    <row r="21" spans="2:5" s="2" customFormat="1" ht="15" x14ac:dyDescent="0.2">
      <c r="B21" s="19"/>
      <c r="C21" s="16"/>
      <c r="D21" s="39"/>
      <c r="E21" s="20"/>
    </row>
    <row r="22" spans="2:5" s="2" customFormat="1" ht="15.75" x14ac:dyDescent="0.25">
      <c r="B22" s="19"/>
      <c r="C22" s="16" t="s">
        <v>179</v>
      </c>
      <c r="D22" s="31">
        <f>D20/D9</f>
        <v>7.4970802175259102E-2</v>
      </c>
      <c r="E22" s="20"/>
    </row>
    <row r="23" spans="2:5" s="2" customFormat="1" ht="15" customHeight="1" thickBot="1" x14ac:dyDescent="0.25">
      <c r="B23" s="26"/>
      <c r="C23" s="27"/>
      <c r="D23" s="27"/>
      <c r="E23" s="28"/>
    </row>
    <row r="24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7109375" customWidth="1"/>
    <col min="4" max="4" width="13.5703125" bestFit="1" customWidth="1"/>
    <col min="5" max="5" width="3.140625" customWidth="1"/>
  </cols>
  <sheetData>
    <row r="1" spans="2:5" ht="18" x14ac:dyDescent="0.25">
      <c r="C1" s="1" t="s">
        <v>189</v>
      </c>
    </row>
    <row r="2" spans="2:5" ht="15" x14ac:dyDescent="0.2">
      <c r="C2" s="2" t="s">
        <v>14</v>
      </c>
    </row>
    <row r="4" spans="2:5" ht="15" x14ac:dyDescent="0.2">
      <c r="C4" s="3" t="s">
        <v>1</v>
      </c>
      <c r="D4" s="2"/>
      <c r="E4" s="2"/>
    </row>
    <row r="5" spans="2:5" s="2" customFormat="1" ht="15.75" thickBot="1" x14ac:dyDescent="0.25">
      <c r="C5" s="4"/>
      <c r="D5" s="5"/>
    </row>
    <row r="6" spans="2:5" s="2" customFormat="1" ht="15" x14ac:dyDescent="0.2">
      <c r="B6" s="21"/>
      <c r="C6" s="6"/>
      <c r="D6" s="7"/>
      <c r="E6" s="8"/>
    </row>
    <row r="7" spans="2:5" s="2" customFormat="1" ht="15" x14ac:dyDescent="0.2">
      <c r="B7" s="22"/>
      <c r="C7" s="9" t="s">
        <v>8</v>
      </c>
      <c r="D7" s="86">
        <v>36526</v>
      </c>
      <c r="E7" s="10"/>
    </row>
    <row r="8" spans="2:5" s="2" customFormat="1" ht="15" x14ac:dyDescent="0.2">
      <c r="B8" s="22"/>
      <c r="C8" s="9" t="s">
        <v>9</v>
      </c>
      <c r="D8" s="87">
        <v>42005</v>
      </c>
      <c r="E8" s="10"/>
    </row>
    <row r="9" spans="2:5" s="2" customFormat="1" ht="15" x14ac:dyDescent="0.2">
      <c r="B9" s="22"/>
      <c r="C9" s="9" t="s">
        <v>10</v>
      </c>
      <c r="D9" s="92">
        <v>5.0999999999999997E-2</v>
      </c>
      <c r="E9" s="10"/>
    </row>
    <row r="10" spans="2:5" s="2" customFormat="1" ht="15" x14ac:dyDescent="0.2">
      <c r="B10" s="22"/>
      <c r="C10" s="9" t="s">
        <v>11</v>
      </c>
      <c r="D10" s="89">
        <v>1</v>
      </c>
      <c r="E10" s="10"/>
    </row>
    <row r="11" spans="2:5" s="2" customFormat="1" ht="15" x14ac:dyDescent="0.2">
      <c r="B11" s="22"/>
      <c r="C11" s="9" t="s">
        <v>6</v>
      </c>
      <c r="D11" s="92">
        <v>4.2999999999999997E-2</v>
      </c>
      <c r="E11" s="10"/>
    </row>
    <row r="12" spans="2:5" s="2" customFormat="1" ht="15" customHeight="1" thickBot="1" x14ac:dyDescent="0.25">
      <c r="B12" s="23"/>
      <c r="C12" s="11"/>
      <c r="D12" s="11"/>
      <c r="E12" s="12"/>
    </row>
    <row r="13" spans="2:5" s="2" customFormat="1" ht="15" x14ac:dyDescent="0.2"/>
    <row r="14" spans="2:5" s="2" customFormat="1" ht="15" x14ac:dyDescent="0.2">
      <c r="C14" s="3" t="s">
        <v>2</v>
      </c>
    </row>
    <row r="15" spans="2:5" s="2" customFormat="1" ht="15.75" thickBot="1" x14ac:dyDescent="0.25">
      <c r="C15" s="4"/>
    </row>
    <row r="16" spans="2:5" s="2" customFormat="1" ht="15" x14ac:dyDescent="0.2">
      <c r="B16" s="24"/>
      <c r="C16" s="13"/>
      <c r="D16" s="13"/>
      <c r="E16" s="25"/>
    </row>
    <row r="17" spans="2:5" s="2" customFormat="1" ht="15.75" x14ac:dyDescent="0.25">
      <c r="B17" s="19"/>
      <c r="C17" s="16" t="s">
        <v>91</v>
      </c>
      <c r="D17" s="211">
        <f>PRICE($D$7,$D$8,$D$9,D11,100,$D$10)*10</f>
        <v>1087.1099290663774</v>
      </c>
      <c r="E17" s="20"/>
    </row>
    <row r="18" spans="2:5" s="2" customFormat="1" ht="15" customHeight="1" thickBot="1" x14ac:dyDescent="0.25">
      <c r="B18" s="26"/>
      <c r="C18" s="27"/>
      <c r="D18" s="27"/>
      <c r="E18" s="28"/>
    </row>
    <row r="19" spans="2:5" s="2" customFormat="1" ht="15" x14ac:dyDescent="0.2"/>
  </sheetData>
  <pageMargins left="0.75" right="0.75" top="1" bottom="1" header="0.5" footer="0.5"/>
  <pageSetup orientation="portrait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7109375" customWidth="1"/>
    <col min="4" max="4" width="13" customWidth="1"/>
    <col min="5" max="5" width="3.140625" customWidth="1"/>
  </cols>
  <sheetData>
    <row r="1" spans="2:5" ht="18" x14ac:dyDescent="0.25">
      <c r="C1" s="1" t="s">
        <v>189</v>
      </c>
    </row>
    <row r="2" spans="2:5" ht="15" x14ac:dyDescent="0.2">
      <c r="C2" s="2" t="s">
        <v>17</v>
      </c>
    </row>
    <row r="4" spans="2:5" ht="15" x14ac:dyDescent="0.2">
      <c r="C4" s="3" t="s">
        <v>1</v>
      </c>
      <c r="D4" s="2"/>
      <c r="E4" s="2"/>
    </row>
    <row r="5" spans="2:5" s="2" customFormat="1" ht="15.75" thickBot="1" x14ac:dyDescent="0.25">
      <c r="C5" s="4"/>
      <c r="D5" s="5"/>
    </row>
    <row r="6" spans="2:5" s="2" customFormat="1" ht="15" x14ac:dyDescent="0.2">
      <c r="B6" s="21"/>
      <c r="C6" s="6"/>
      <c r="D6" s="7"/>
      <c r="E6" s="8"/>
    </row>
    <row r="7" spans="2:5" s="2" customFormat="1" ht="15" x14ac:dyDescent="0.2">
      <c r="B7" s="22"/>
      <c r="C7" s="9" t="s">
        <v>8</v>
      </c>
      <c r="D7" s="86">
        <v>36526</v>
      </c>
      <c r="E7" s="10"/>
    </row>
    <row r="8" spans="2:5" s="2" customFormat="1" ht="15" x14ac:dyDescent="0.2">
      <c r="B8" s="22"/>
      <c r="C8" s="9" t="s">
        <v>9</v>
      </c>
      <c r="D8" s="87">
        <v>42736</v>
      </c>
      <c r="E8" s="10"/>
    </row>
    <row r="9" spans="2:5" s="2" customFormat="1" ht="15" x14ac:dyDescent="0.2">
      <c r="B9" s="22"/>
      <c r="C9" s="9" t="s">
        <v>10</v>
      </c>
      <c r="D9" s="92">
        <v>2.8000000000000001E-2</v>
      </c>
      <c r="E9" s="10"/>
    </row>
    <row r="10" spans="2:5" s="2" customFormat="1" ht="15" x14ac:dyDescent="0.2">
      <c r="B10" s="22"/>
      <c r="C10" s="9" t="s">
        <v>11</v>
      </c>
      <c r="D10" s="89">
        <v>1</v>
      </c>
      <c r="E10" s="10"/>
    </row>
    <row r="11" spans="2:5" s="2" customFormat="1" ht="15" x14ac:dyDescent="0.2">
      <c r="B11" s="22"/>
      <c r="C11" s="9" t="s">
        <v>12</v>
      </c>
      <c r="D11" s="89">
        <v>100</v>
      </c>
      <c r="E11" s="10"/>
    </row>
    <row r="12" spans="2:5" s="2" customFormat="1" ht="15" x14ac:dyDescent="0.2">
      <c r="B12" s="22"/>
      <c r="C12" s="9" t="s">
        <v>13</v>
      </c>
      <c r="D12" s="89">
        <v>106</v>
      </c>
      <c r="E12" s="10"/>
    </row>
    <row r="13" spans="2:5" s="2" customFormat="1" ht="15" customHeight="1" thickBot="1" x14ac:dyDescent="0.25">
      <c r="B13" s="23"/>
      <c r="C13" s="11"/>
      <c r="D13" s="11"/>
      <c r="E13" s="12"/>
    </row>
    <row r="14" spans="2:5" s="2" customFormat="1" ht="15" x14ac:dyDescent="0.2"/>
    <row r="15" spans="2:5" s="2" customFormat="1" ht="15" x14ac:dyDescent="0.2">
      <c r="C15" s="3" t="s">
        <v>2</v>
      </c>
    </row>
    <row r="16" spans="2:5" s="2" customFormat="1" ht="15.75" thickBot="1" x14ac:dyDescent="0.25">
      <c r="C16" s="4"/>
    </row>
    <row r="17" spans="2:5" s="2" customFormat="1" ht="15" x14ac:dyDescent="0.2">
      <c r="B17" s="24"/>
      <c r="C17" s="13"/>
      <c r="D17" s="13"/>
      <c r="E17" s="25"/>
    </row>
    <row r="18" spans="2:5" s="2" customFormat="1" ht="15.75" x14ac:dyDescent="0.25">
      <c r="B18" s="19"/>
      <c r="C18" s="14" t="s">
        <v>159</v>
      </c>
      <c r="D18" s="31">
        <f>YIELD(D7,D8,D9,D12,D11,D10)</f>
        <v>2.367186943286308E-2</v>
      </c>
      <c r="E18" s="30"/>
    </row>
    <row r="19" spans="2:5" s="2" customFormat="1" ht="15" customHeight="1" thickBot="1" x14ac:dyDescent="0.25">
      <c r="B19" s="26"/>
      <c r="C19" s="27"/>
      <c r="D19" s="27"/>
      <c r="E19" s="28"/>
    </row>
    <row r="20" spans="2:5" s="2" customFormat="1" ht="15" x14ac:dyDescent="0.2"/>
  </sheetData>
  <pageMargins left="0.75" right="0.75" top="1" bottom="1" header="0.5" footer="0.5"/>
  <pageSetup orientation="portrait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workbookViewId="0">
      <selection activeCell="C2" sqref="C2"/>
    </sheetView>
  </sheetViews>
  <sheetFormatPr defaultRowHeight="12.75" x14ac:dyDescent="0.2"/>
  <cols>
    <col min="1" max="1" width="9.140625" style="181"/>
    <col min="2" max="2" width="3.140625" style="181" customWidth="1"/>
    <col min="3" max="3" width="22.7109375" style="181" customWidth="1"/>
    <col min="4" max="4" width="17.140625" style="181" customWidth="1"/>
    <col min="5" max="5" width="3.140625" style="181" customWidth="1"/>
    <col min="6" max="8" width="9.140625" style="181" customWidth="1"/>
    <col min="9" max="16384" width="9.140625" style="181"/>
  </cols>
  <sheetData>
    <row r="1" spans="2:7" ht="18" x14ac:dyDescent="0.25">
      <c r="C1" s="210" t="s">
        <v>189</v>
      </c>
    </row>
    <row r="2" spans="2:7" ht="15" x14ac:dyDescent="0.2">
      <c r="C2" s="182" t="s">
        <v>18</v>
      </c>
    </row>
    <row r="4" spans="2:7" ht="15" x14ac:dyDescent="0.2">
      <c r="C4" s="197" t="s">
        <v>1</v>
      </c>
      <c r="D4" s="182"/>
      <c r="E4" s="182"/>
      <c r="F4" s="182"/>
      <c r="G4" s="182"/>
    </row>
    <row r="5" spans="2:7" s="182" customFormat="1" ht="15.75" thickBot="1" x14ac:dyDescent="0.25">
      <c r="C5" s="196"/>
      <c r="D5" s="209"/>
    </row>
    <row r="6" spans="2:7" s="182" customFormat="1" ht="15" x14ac:dyDescent="0.2">
      <c r="B6" s="208"/>
      <c r="C6" s="207"/>
      <c r="D6" s="206"/>
      <c r="E6" s="205"/>
    </row>
    <row r="7" spans="2:7" s="182" customFormat="1" ht="15" x14ac:dyDescent="0.2">
      <c r="B7" s="203"/>
      <c r="C7" s="202" t="s">
        <v>8</v>
      </c>
      <c r="D7" s="86">
        <v>36526</v>
      </c>
      <c r="E7" s="201"/>
    </row>
    <row r="8" spans="2:7" s="182" customFormat="1" ht="15" x14ac:dyDescent="0.2">
      <c r="B8" s="203"/>
      <c r="C8" s="202" t="s">
        <v>9</v>
      </c>
      <c r="D8" s="87">
        <v>41275</v>
      </c>
      <c r="E8" s="201"/>
    </row>
    <row r="9" spans="2:7" s="182" customFormat="1" ht="15" x14ac:dyDescent="0.2">
      <c r="B9" s="203"/>
      <c r="C9" s="202" t="s">
        <v>5</v>
      </c>
      <c r="D9" s="92">
        <v>0</v>
      </c>
      <c r="E9" s="201"/>
    </row>
    <row r="10" spans="2:7" s="182" customFormat="1" ht="15" x14ac:dyDescent="0.2">
      <c r="B10" s="203"/>
      <c r="C10" s="202" t="s">
        <v>11</v>
      </c>
      <c r="D10" s="89">
        <v>2</v>
      </c>
      <c r="E10" s="201"/>
    </row>
    <row r="11" spans="2:7" s="182" customFormat="1" ht="15" x14ac:dyDescent="0.2">
      <c r="B11" s="203"/>
      <c r="C11" s="202" t="s">
        <v>15</v>
      </c>
      <c r="D11" s="104">
        <v>100</v>
      </c>
      <c r="E11" s="201"/>
    </row>
    <row r="12" spans="2:7" s="182" customFormat="1" ht="15" x14ac:dyDescent="0.2">
      <c r="B12" s="203"/>
      <c r="C12" s="202" t="s">
        <v>6</v>
      </c>
      <c r="D12" s="92">
        <v>4.4999999999999998E-2</v>
      </c>
      <c r="E12" s="201"/>
    </row>
    <row r="13" spans="2:7" s="182" customFormat="1" ht="15" x14ac:dyDescent="0.2">
      <c r="B13" s="203"/>
      <c r="C13" s="202" t="s">
        <v>85</v>
      </c>
      <c r="D13" s="90">
        <v>10000</v>
      </c>
      <c r="E13" s="201"/>
    </row>
    <row r="14" spans="2:7" s="182" customFormat="1" ht="15" customHeight="1" thickBot="1" x14ac:dyDescent="0.25">
      <c r="B14" s="200"/>
      <c r="C14" s="199"/>
      <c r="D14" s="199"/>
      <c r="E14" s="198"/>
    </row>
    <row r="15" spans="2:7" s="182" customFormat="1" ht="15" x14ac:dyDescent="0.2"/>
    <row r="16" spans="2:7" s="182" customFormat="1" ht="15" x14ac:dyDescent="0.2">
      <c r="C16" s="197" t="s">
        <v>2</v>
      </c>
    </row>
    <row r="17" spans="2:5" s="182" customFormat="1" ht="15.75" thickBot="1" x14ac:dyDescent="0.25">
      <c r="C17" s="196"/>
    </row>
    <row r="18" spans="2:5" s="182" customFormat="1" ht="15" x14ac:dyDescent="0.2">
      <c r="B18" s="195"/>
      <c r="C18" s="194"/>
      <c r="D18" s="194"/>
      <c r="E18" s="193"/>
    </row>
    <row r="19" spans="2:5" s="182" customFormat="1" ht="15.75" x14ac:dyDescent="0.25">
      <c r="B19" s="189"/>
      <c r="C19" s="188" t="s">
        <v>91</v>
      </c>
      <c r="D19" s="29">
        <f>PRICE(D7,D8,D9,D12,D11,D10)/100*D13</f>
        <v>5607.299665976675</v>
      </c>
      <c r="E19" s="186"/>
    </row>
    <row r="20" spans="2:5" s="182" customFormat="1" ht="15" customHeight="1" thickBot="1" x14ac:dyDescent="0.25">
      <c r="B20" s="185"/>
      <c r="C20" s="184"/>
      <c r="D20" s="184"/>
      <c r="E20" s="183"/>
    </row>
    <row r="21" spans="2:5" s="182" customFormat="1" ht="15" x14ac:dyDescent="0.2"/>
  </sheetData>
  <pageMargins left="0.75" right="0.75" top="1" bottom="1" header="0.5" footer="0.5"/>
  <pageSetup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workbookViewId="0">
      <selection activeCell="C2" sqref="C2"/>
    </sheetView>
  </sheetViews>
  <sheetFormatPr defaultRowHeight="12.75" x14ac:dyDescent="0.2"/>
  <cols>
    <col min="1" max="1" width="9.140625" style="181"/>
    <col min="2" max="2" width="3.140625" style="181" customWidth="1"/>
    <col min="3" max="3" width="22.7109375" style="181" customWidth="1"/>
    <col min="4" max="4" width="17.140625" style="181" customWidth="1"/>
    <col min="5" max="5" width="3.140625" style="181" customWidth="1"/>
    <col min="6" max="8" width="9.140625" style="181" customWidth="1"/>
    <col min="9" max="16384" width="9.140625" style="181"/>
  </cols>
  <sheetData>
    <row r="1" spans="2:7" ht="18" x14ac:dyDescent="0.25">
      <c r="C1" s="210" t="s">
        <v>189</v>
      </c>
    </row>
    <row r="2" spans="2:7" ht="15" x14ac:dyDescent="0.2">
      <c r="C2" s="182" t="s">
        <v>19</v>
      </c>
    </row>
    <row r="4" spans="2:7" ht="15" x14ac:dyDescent="0.2">
      <c r="C4" s="197" t="s">
        <v>1</v>
      </c>
      <c r="D4" s="182"/>
      <c r="E4" s="182"/>
      <c r="F4" s="182"/>
      <c r="G4" s="182"/>
    </row>
    <row r="5" spans="2:7" s="182" customFormat="1" ht="15.75" thickBot="1" x14ac:dyDescent="0.25">
      <c r="C5" s="196"/>
      <c r="D5" s="209"/>
    </row>
    <row r="6" spans="2:7" s="182" customFormat="1" ht="15" x14ac:dyDescent="0.2">
      <c r="B6" s="208"/>
      <c r="C6" s="207"/>
      <c r="D6" s="206"/>
      <c r="E6" s="205"/>
    </row>
    <row r="7" spans="2:7" s="182" customFormat="1" ht="15" x14ac:dyDescent="0.2">
      <c r="B7" s="203"/>
      <c r="C7" s="202" t="s">
        <v>8</v>
      </c>
      <c r="D7" s="86">
        <v>36526</v>
      </c>
      <c r="E7" s="201"/>
    </row>
    <row r="8" spans="2:7" s="182" customFormat="1" ht="15" x14ac:dyDescent="0.2">
      <c r="B8" s="203"/>
      <c r="C8" s="202" t="s">
        <v>9</v>
      </c>
      <c r="D8" s="87">
        <v>41275</v>
      </c>
      <c r="E8" s="201"/>
    </row>
    <row r="9" spans="2:7" s="182" customFormat="1" ht="15" x14ac:dyDescent="0.2">
      <c r="B9" s="203"/>
      <c r="C9" s="202" t="s">
        <v>5</v>
      </c>
      <c r="D9" s="92">
        <v>4.9000000000000002E-2</v>
      </c>
      <c r="E9" s="201"/>
    </row>
    <row r="10" spans="2:7" s="182" customFormat="1" ht="15" x14ac:dyDescent="0.2">
      <c r="B10" s="203"/>
      <c r="C10" s="202" t="s">
        <v>11</v>
      </c>
      <c r="D10" s="89">
        <v>2</v>
      </c>
      <c r="E10" s="201"/>
    </row>
    <row r="11" spans="2:7" s="182" customFormat="1" ht="15" x14ac:dyDescent="0.2">
      <c r="B11" s="203"/>
      <c r="C11" s="202" t="s">
        <v>15</v>
      </c>
      <c r="D11" s="104">
        <v>100</v>
      </c>
      <c r="E11" s="201"/>
    </row>
    <row r="12" spans="2:7" s="182" customFormat="1" ht="15" x14ac:dyDescent="0.2">
      <c r="B12" s="203"/>
      <c r="C12" s="202" t="s">
        <v>6</v>
      </c>
      <c r="D12" s="92">
        <v>5.3999999999999999E-2</v>
      </c>
      <c r="E12" s="201"/>
    </row>
    <row r="13" spans="2:7" s="182" customFormat="1" ht="15" x14ac:dyDescent="0.2">
      <c r="B13" s="203"/>
      <c r="C13" s="202" t="s">
        <v>85</v>
      </c>
      <c r="D13" s="90">
        <v>2000</v>
      </c>
      <c r="E13" s="201"/>
    </row>
    <row r="14" spans="2:7" s="182" customFormat="1" ht="15" customHeight="1" thickBot="1" x14ac:dyDescent="0.25">
      <c r="B14" s="200"/>
      <c r="C14" s="199"/>
      <c r="D14" s="199"/>
      <c r="E14" s="198"/>
    </row>
    <row r="15" spans="2:7" s="182" customFormat="1" ht="15" x14ac:dyDescent="0.2"/>
    <row r="16" spans="2:7" s="182" customFormat="1" ht="15" x14ac:dyDescent="0.2">
      <c r="C16" s="197" t="s">
        <v>2</v>
      </c>
    </row>
    <row r="17" spans="2:5" s="182" customFormat="1" ht="15.75" thickBot="1" x14ac:dyDescent="0.25">
      <c r="C17" s="196"/>
    </row>
    <row r="18" spans="2:5" s="182" customFormat="1" ht="15" x14ac:dyDescent="0.2">
      <c r="B18" s="195"/>
      <c r="C18" s="194"/>
      <c r="D18" s="194"/>
      <c r="E18" s="193"/>
    </row>
    <row r="19" spans="2:5" s="182" customFormat="1" ht="15.75" x14ac:dyDescent="0.25">
      <c r="B19" s="189"/>
      <c r="C19" s="188" t="s">
        <v>91</v>
      </c>
      <c r="D19" s="29">
        <f>PRICE(D7,D8,D9,D12,D11,D10)/100*D13</f>
        <v>1907.4497296650418</v>
      </c>
      <c r="E19" s="186"/>
    </row>
    <row r="20" spans="2:5" s="182" customFormat="1" ht="15" customHeight="1" thickBot="1" x14ac:dyDescent="0.25">
      <c r="B20" s="185"/>
      <c r="C20" s="184"/>
      <c r="D20" s="184"/>
      <c r="E20" s="183"/>
    </row>
    <row r="21" spans="2:5" s="182" customFormat="1" ht="15" x14ac:dyDescent="0.2"/>
  </sheetData>
  <pageMargins left="0.75" right="0.75" top="1" bottom="1" header="0.5" footer="0.5"/>
  <pageSetup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Chapter 8</vt:lpstr>
      <vt:lpstr>#1</vt:lpstr>
      <vt:lpstr>#2</vt:lpstr>
      <vt:lpstr>#3</vt:lpstr>
      <vt:lpstr>#4</vt:lpstr>
      <vt:lpstr>#5</vt:lpstr>
      <vt:lpstr>#6</vt:lpstr>
      <vt:lpstr>#7</vt:lpstr>
      <vt:lpstr>#8</vt:lpstr>
      <vt:lpstr>#9</vt:lpstr>
      <vt:lpstr>#10</vt:lpstr>
      <vt:lpstr>#11</vt:lpstr>
      <vt:lpstr>#12</vt:lpstr>
      <vt:lpstr>#13</vt:lpstr>
      <vt:lpstr>#14</vt:lpstr>
      <vt:lpstr>#15</vt:lpstr>
      <vt:lpstr>#16</vt:lpstr>
      <vt:lpstr>#17</vt:lpstr>
      <vt:lpstr>#18</vt:lpstr>
      <vt:lpstr>#19</vt:lpstr>
      <vt:lpstr>#20</vt:lpstr>
      <vt:lpstr>#21</vt:lpstr>
      <vt:lpstr>#22</vt:lpstr>
      <vt:lpstr>#23</vt:lpstr>
      <vt:lpstr>#24</vt:lpstr>
      <vt:lpstr>#25</vt:lpstr>
      <vt:lpstr>#26</vt:lpstr>
      <vt:lpstr>#27</vt:lpstr>
      <vt:lpstr>#28</vt:lpstr>
      <vt:lpstr>#29</vt:lpstr>
      <vt:lpstr>#30</vt:lpstr>
      <vt:lpstr>#31</vt:lpstr>
      <vt:lpstr>#33</vt:lpstr>
      <vt:lpstr>#34</vt:lpstr>
      <vt:lpstr>#35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Smolira</dc:creator>
  <cp:lastModifiedBy>Joe Smolira</cp:lastModifiedBy>
  <cp:lastPrinted>2005-03-20T23:14:26Z</cp:lastPrinted>
  <dcterms:created xsi:type="dcterms:W3CDTF">2002-04-15T02:43:42Z</dcterms:created>
  <dcterms:modified xsi:type="dcterms:W3CDTF">2018-09-28T18:58:10Z</dcterms:modified>
</cp:coreProperties>
</file>