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360" yWindow="240" windowWidth="11370" windowHeight="7080"/>
  </bookViews>
  <sheets>
    <sheet name="Chapter 13" sheetId="27" r:id="rId1"/>
    <sheet name="#1" sheetId="4" r:id="rId2"/>
    <sheet name="#2" sheetId="9" r:id="rId3"/>
    <sheet name="#3" sheetId="10" r:id="rId4"/>
    <sheet name="#4" sheetId="11" r:id="rId5"/>
    <sheet name="#5" sheetId="12" r:id="rId6"/>
    <sheet name="#6" sheetId="13" r:id="rId7"/>
    <sheet name="#7" sheetId="28" r:id="rId8"/>
    <sheet name="#8" sheetId="29" r:id="rId9"/>
    <sheet name="#9" sheetId="30" r:id="rId10"/>
    <sheet name="#10" sheetId="31" r:id="rId11"/>
    <sheet name="#11" sheetId="32" r:id="rId12"/>
    <sheet name="#12" sheetId="33" r:id="rId13"/>
    <sheet name="#13" sheetId="34" r:id="rId14"/>
    <sheet name="#14" sheetId="42" r:id="rId15"/>
    <sheet name="#15" sheetId="43" r:id="rId16"/>
    <sheet name="#16" sheetId="23" r:id="rId17"/>
    <sheet name="#17" sheetId="37" r:id="rId18"/>
    <sheet name="#18" sheetId="41" r:id="rId19"/>
    <sheet name="#19" sheetId="38" r:id="rId20"/>
    <sheet name="#20" sheetId="48" r:id="rId21"/>
    <sheet name="#21" sheetId="49" r:id="rId22"/>
    <sheet name="#22" sheetId="39" r:id="rId23"/>
    <sheet name="#23" sheetId="40" r:id="rId24"/>
    <sheet name="#24" sheetId="47" r:id="rId25"/>
  </sheets>
  <calcPr calcId="152511"/>
</workbook>
</file>

<file path=xl/calcChain.xml><?xml version="1.0" encoding="utf-8"?>
<calcChain xmlns="http://schemas.openxmlformats.org/spreadsheetml/2006/main">
  <c r="D78" i="47" l="1"/>
  <c r="D58" i="47"/>
  <c r="D45" i="37" l="1"/>
  <c r="D44" i="37"/>
  <c r="D30" i="33"/>
  <c r="D30" i="32"/>
  <c r="D34" i="49" l="1"/>
  <c r="D40" i="49" s="1"/>
  <c r="D30" i="49"/>
  <c r="D29" i="49"/>
  <c r="D20" i="48"/>
  <c r="D21" i="48" s="1"/>
  <c r="D22" i="48" s="1"/>
  <c r="D23" i="48" s="1"/>
  <c r="D24" i="48" s="1"/>
  <c r="D25" i="48" l="1"/>
  <c r="D27" i="48" s="1"/>
  <c r="D29" i="48" s="1"/>
  <c r="D31" i="48" s="1"/>
  <c r="D33" i="48" s="1"/>
  <c r="D31" i="49"/>
  <c r="D37" i="49"/>
  <c r="D41" i="49"/>
  <c r="D35" i="49"/>
  <c r="D36" i="49" s="1"/>
  <c r="E34" i="49"/>
  <c r="D23" i="39"/>
  <c r="D24" i="39" s="1"/>
  <c r="D22" i="39"/>
  <c r="D39" i="49" l="1"/>
  <c r="D42" i="49" s="1"/>
  <c r="E35" i="49"/>
  <c r="E36" i="49" s="1"/>
  <c r="F34" i="49"/>
  <c r="E41" i="49"/>
  <c r="E40" i="49"/>
  <c r="E37" i="49"/>
  <c r="E39" i="49" s="1"/>
  <c r="D53" i="37"/>
  <c r="E42" i="49" l="1"/>
  <c r="G34" i="49"/>
  <c r="F41" i="49"/>
  <c r="F40" i="49"/>
  <c r="F37" i="49"/>
  <c r="F35" i="49"/>
  <c r="F36" i="49" s="1"/>
  <c r="D96" i="47"/>
  <c r="D89" i="47"/>
  <c r="D93" i="47" s="1"/>
  <c r="D88" i="47"/>
  <c r="D87" i="47"/>
  <c r="D86" i="47"/>
  <c r="D83" i="47"/>
  <c r="D84" i="47" s="1"/>
  <c r="D77" i="47"/>
  <c r="D75" i="47"/>
  <c r="D76" i="47" s="1"/>
  <c r="D70" i="47"/>
  <c r="D60" i="47"/>
  <c r="D59" i="47"/>
  <c r="F39" i="49" l="1"/>
  <c r="F42" i="49" s="1"/>
  <c r="G35" i="49"/>
  <c r="G41" i="49"/>
  <c r="G40" i="49"/>
  <c r="G37" i="49"/>
  <c r="G36" i="49"/>
  <c r="H34" i="49"/>
  <c r="D90" i="47"/>
  <c r="D91" i="47" s="1"/>
  <c r="D92" i="47" s="1"/>
  <c r="D94" i="47" s="1"/>
  <c r="D61" i="47"/>
  <c r="D65" i="47" s="1"/>
  <c r="D8" i="12"/>
  <c r="D17" i="12" s="1"/>
  <c r="D25" i="11"/>
  <c r="D12" i="43"/>
  <c r="D23" i="43" s="1"/>
  <c r="D25" i="43" s="1"/>
  <c r="D19" i="42"/>
  <c r="D21" i="42" s="1"/>
  <c r="D16" i="41"/>
  <c r="D17" i="41" s="1"/>
  <c r="D18" i="41" s="1"/>
  <c r="D18" i="40"/>
  <c r="D25" i="39"/>
  <c r="D26" i="39" s="1"/>
  <c r="D20" i="38"/>
  <c r="D18" i="38"/>
  <c r="D46" i="37"/>
  <c r="D47" i="37"/>
  <c r="D50" i="37"/>
  <c r="D51" i="37" s="1"/>
  <c r="D54" i="37"/>
  <c r="D56" i="37"/>
  <c r="D58" i="37"/>
  <c r="D40" i="33"/>
  <c r="D41" i="33" s="1"/>
  <c r="D31" i="33"/>
  <c r="D43" i="33"/>
  <c r="D31" i="32"/>
  <c r="D34" i="32"/>
  <c r="D35" i="32" s="1"/>
  <c r="D37" i="32"/>
  <c r="D34" i="30"/>
  <c r="D18" i="23"/>
  <c r="D19" i="23" s="1"/>
  <c r="D20" i="23" s="1"/>
  <c r="D22" i="23" s="1"/>
  <c r="D22" i="34"/>
  <c r="D23" i="34"/>
  <c r="D24" i="34"/>
  <c r="D25" i="34"/>
  <c r="D28" i="34"/>
  <c r="E28" i="34" s="1"/>
  <c r="D34" i="34" s="1"/>
  <c r="D29" i="34"/>
  <c r="E29" i="34" s="1"/>
  <c r="D30" i="34"/>
  <c r="E30" i="34" s="1"/>
  <c r="D36" i="34" s="1"/>
  <c r="D31" i="34"/>
  <c r="E31" i="34" s="1"/>
  <c r="D37" i="34" s="1"/>
  <c r="D17" i="31"/>
  <c r="D19" i="31"/>
  <c r="D8" i="30"/>
  <c r="D36" i="29"/>
  <c r="D37" i="29"/>
  <c r="D18" i="30"/>
  <c r="D13" i="30"/>
  <c r="D11" i="30"/>
  <c r="D20" i="30"/>
  <c r="D12" i="30"/>
  <c r="D14" i="30"/>
  <c r="D15" i="30"/>
  <c r="D16" i="30"/>
  <c r="D19" i="30"/>
  <c r="D21" i="30"/>
  <c r="D22" i="30"/>
  <c r="D23" i="30"/>
  <c r="D9" i="30"/>
  <c r="D7" i="30"/>
  <c r="D30" i="29"/>
  <c r="D29" i="29"/>
  <c r="D16" i="28"/>
  <c r="D16" i="13"/>
  <c r="D23" i="11"/>
  <c r="D14" i="11"/>
  <c r="D18" i="10"/>
  <c r="D19" i="10" s="1"/>
  <c r="D21" i="11"/>
  <c r="D18" i="9"/>
  <c r="D19" i="9" s="1"/>
  <c r="D15" i="4"/>
  <c r="D35" i="30" l="1"/>
  <c r="D36" i="30" s="1"/>
  <c r="D35" i="34"/>
  <c r="G39" i="49"/>
  <c r="G42" i="49" s="1"/>
  <c r="H41" i="49"/>
  <c r="H40" i="49"/>
  <c r="H37" i="49"/>
  <c r="H35" i="49"/>
  <c r="H36" i="49" s="1"/>
  <c r="D32" i="32"/>
  <c r="D39" i="32" s="1"/>
  <c r="D27" i="39"/>
  <c r="D27" i="11"/>
  <c r="D103" i="47"/>
  <c r="D101" i="47"/>
  <c r="D104" i="47"/>
  <c r="D102" i="47"/>
  <c r="D100" i="47"/>
  <c r="D63" i="47"/>
  <c r="D79" i="47"/>
  <c r="D81" i="47" s="1"/>
  <c r="D64" i="47"/>
  <c r="D48" i="37"/>
  <c r="D60" i="37" s="1"/>
  <c r="D32" i="33"/>
  <c r="D45" i="33" s="1"/>
  <c r="D31" i="29"/>
  <c r="D33" i="29" s="1"/>
  <c r="D34" i="29" s="1"/>
  <c r="D38" i="29"/>
  <c r="D40" i="29" s="1"/>
  <c r="D41" i="29" s="1"/>
  <c r="D37" i="30"/>
  <c r="D38" i="30" s="1"/>
  <c r="D19" i="40"/>
  <c r="D20" i="40" s="1"/>
  <c r="D22" i="40" s="1"/>
  <c r="D39" i="30"/>
  <c r="D40" i="30" s="1"/>
  <c r="D29" i="11"/>
  <c r="D52" i="49" l="1"/>
  <c r="D54" i="49" s="1"/>
  <c r="D56" i="49" s="1"/>
  <c r="H39" i="49"/>
  <c r="H42" i="49" s="1"/>
  <c r="D41" i="30"/>
  <c r="D67" i="47"/>
  <c r="D35" i="33"/>
  <c r="D34" i="33"/>
  <c r="D43" i="30"/>
  <c r="D45" i="30" s="1"/>
  <c r="D71" i="47" l="1"/>
  <c r="D72" i="47"/>
  <c r="D58" i="49"/>
  <c r="D60" i="49" s="1"/>
  <c r="D44" i="49"/>
  <c r="D46" i="49" s="1"/>
  <c r="D48" i="49" s="1"/>
  <c r="D50" i="49" s="1"/>
  <c r="D73" i="47" l="1"/>
  <c r="D99" i="47" s="1"/>
  <c r="D106" i="47" l="1"/>
  <c r="D107" i="47"/>
</calcChain>
</file>

<file path=xl/sharedStrings.xml><?xml version="1.0" encoding="utf-8"?>
<sst xmlns="http://schemas.openxmlformats.org/spreadsheetml/2006/main" count="593" uniqueCount="264">
  <si>
    <t>Question 1</t>
  </si>
  <si>
    <t>Input Area:</t>
  </si>
  <si>
    <t>Output Area:</t>
  </si>
  <si>
    <t>Growth rate</t>
  </si>
  <si>
    <t>Cost of equity</t>
  </si>
  <si>
    <t>Question 2</t>
  </si>
  <si>
    <t>Beta</t>
  </si>
  <si>
    <t>Risk-free rate</t>
  </si>
  <si>
    <t>Market return</t>
  </si>
  <si>
    <t>Market risk premium</t>
  </si>
  <si>
    <t>T-bill rate</t>
  </si>
  <si>
    <t>Question 3</t>
  </si>
  <si>
    <t>Question 4</t>
  </si>
  <si>
    <t>Question 5</t>
  </si>
  <si>
    <t>Tax rate</t>
  </si>
  <si>
    <t>Question 6</t>
  </si>
  <si>
    <t>Aftertax cost of debt</t>
  </si>
  <si>
    <t>Pretax cost of debt</t>
  </si>
  <si>
    <t>Question 7</t>
  </si>
  <si>
    <t>Coupon rate</t>
  </si>
  <si>
    <t>that is the actual cost to the company.</t>
  </si>
  <si>
    <t>Question 8</t>
  </si>
  <si>
    <t>Book value debt issue (2)</t>
  </si>
  <si>
    <t>Book value of debt</t>
  </si>
  <si>
    <t>Market value of debt</t>
  </si>
  <si>
    <t>Question 9</t>
  </si>
  <si>
    <t>Common stock</t>
  </si>
  <si>
    <t>Debt</t>
  </si>
  <si>
    <t>Cost of debt</t>
  </si>
  <si>
    <t>WACC</t>
  </si>
  <si>
    <t>Question 10</t>
  </si>
  <si>
    <t>Debt-to-equity ratio</t>
  </si>
  <si>
    <t>Question 11</t>
  </si>
  <si>
    <t>D/E</t>
  </si>
  <si>
    <t>BV(E)</t>
  </si>
  <si>
    <t>BV(D)</t>
  </si>
  <si>
    <t>V</t>
  </si>
  <si>
    <t>E/V</t>
  </si>
  <si>
    <t>D/V</t>
  </si>
  <si>
    <t>The market value weights are more relevant</t>
  </si>
  <si>
    <t>Question 13</t>
  </si>
  <si>
    <t>Question 12</t>
  </si>
  <si>
    <t>Shares outstanding</t>
  </si>
  <si>
    <t>Share price</t>
  </si>
  <si>
    <t>Preferred stock outstanding</t>
  </si>
  <si>
    <t>P/V</t>
  </si>
  <si>
    <t xml:space="preserve">For projects equally as risky as the firm itself, the </t>
  </si>
  <si>
    <t>WACC should be used as the discount rate.</t>
  </si>
  <si>
    <t>Firms cost of capital</t>
  </si>
  <si>
    <t>Market expected return</t>
  </si>
  <si>
    <t>Project</t>
  </si>
  <si>
    <t>W</t>
  </si>
  <si>
    <t>X</t>
  </si>
  <si>
    <t>Y</t>
  </si>
  <si>
    <t>Z</t>
  </si>
  <si>
    <t>Debt-equity ratio</t>
  </si>
  <si>
    <t>Aftertax cash savings</t>
  </si>
  <si>
    <t>Adjustment factor</t>
  </si>
  <si>
    <t>Aftertax cost of debt.</t>
  </si>
  <si>
    <t>NPV</t>
  </si>
  <si>
    <t xml:space="preserve">The project should only be undertaken if its </t>
  </si>
  <si>
    <t>Projected cost</t>
  </si>
  <si>
    <t>Aftertax cash flows</t>
  </si>
  <si>
    <t>Required return</t>
  </si>
  <si>
    <t>Target ratio A/P to LTD</t>
  </si>
  <si>
    <t>Plant salvage value</t>
  </si>
  <si>
    <t>Annual fixed costs</t>
  </si>
  <si>
    <t>Variable costs per RDS</t>
  </si>
  <si>
    <t># RDS manufactured</t>
  </si>
  <si>
    <t>Sale price per RDS</t>
  </si>
  <si>
    <t>Aftertax salvage value</t>
  </si>
  <si>
    <t>IRR</t>
  </si>
  <si>
    <t xml:space="preserve">cost is less than </t>
  </si>
  <si>
    <t>Input boxes in tan</t>
  </si>
  <si>
    <t>Output boxes in yellow</t>
  </si>
  <si>
    <t>Given data in blue</t>
  </si>
  <si>
    <t>Calculations in red</t>
  </si>
  <si>
    <t>Answers in green</t>
  </si>
  <si>
    <r>
      <t>R</t>
    </r>
    <r>
      <rPr>
        <vertAlign val="subscript"/>
        <sz val="12"/>
        <color indexed="8"/>
        <rFont val="Arial"/>
        <family val="2"/>
      </rPr>
      <t>E</t>
    </r>
  </si>
  <si>
    <t>Settlement</t>
  </si>
  <si>
    <t>Maturity</t>
  </si>
  <si>
    <t>Price (% of par)</t>
  </si>
  <si>
    <t>Payments per year</t>
  </si>
  <si>
    <t>Pretax cost</t>
  </si>
  <si>
    <t>a.</t>
  </si>
  <si>
    <t>b.</t>
  </si>
  <si>
    <t>c.</t>
  </si>
  <si>
    <t>Book value of debt issue (1)</t>
  </si>
  <si>
    <t>Second issue</t>
  </si>
  <si>
    <t>Settlement date</t>
  </si>
  <si>
    <t>Maturity date</t>
  </si>
  <si>
    <t>Annual coupon rate</t>
  </si>
  <si>
    <t>Coupons per year</t>
  </si>
  <si>
    <t>Bond price (% of par)</t>
  </si>
  <si>
    <t>Pretax cost of second issue</t>
  </si>
  <si>
    <t>Aftertax cost of second issue</t>
  </si>
  <si>
    <t>Market price per share</t>
  </si>
  <si>
    <t>Book value per share</t>
  </si>
  <si>
    <t>because they represent a more current</t>
  </si>
  <si>
    <t>valuation of the debt and equity.</t>
  </si>
  <si>
    <t>Bond I</t>
  </si>
  <si>
    <t>Book value</t>
  </si>
  <si>
    <t>Bond II</t>
  </si>
  <si>
    <t>Pretax cost of bond I</t>
  </si>
  <si>
    <t>Aftertax cost of bond I</t>
  </si>
  <si>
    <t>Pretax cost of bond II</t>
  </si>
  <si>
    <t>Aftertax cost of bond II</t>
  </si>
  <si>
    <t>Company's aftertax</t>
  </si>
  <si>
    <t>cost of debt</t>
  </si>
  <si>
    <t>Bonds outstanding</t>
  </si>
  <si>
    <t xml:space="preserve">Common stock </t>
  </si>
  <si>
    <t>Market</t>
  </si>
  <si>
    <t>Market value of equity</t>
  </si>
  <si>
    <t>Market value of preferred</t>
  </si>
  <si>
    <t>Market value of firm</t>
  </si>
  <si>
    <t>Cost of preferred</t>
  </si>
  <si>
    <t>CAPM E(R)</t>
  </si>
  <si>
    <t>Accept/Reject</t>
  </si>
  <si>
    <t>Project discount rate</t>
  </si>
  <si>
    <t>Land price</t>
  </si>
  <si>
    <t>Face value (% of par)</t>
  </si>
  <si>
    <t>Net working capital</t>
  </si>
  <si>
    <t>Life of plant (years)</t>
  </si>
  <si>
    <t>Life of project (years)</t>
  </si>
  <si>
    <t>d.</t>
  </si>
  <si>
    <t>Land</t>
  </si>
  <si>
    <t>Discount rate for project</t>
  </si>
  <si>
    <t>Book value in year 5</t>
  </si>
  <si>
    <t>Sales</t>
  </si>
  <si>
    <t>Variable costs</t>
  </si>
  <si>
    <t>Fixed costs</t>
  </si>
  <si>
    <t>Depreciation</t>
  </si>
  <si>
    <t>EBIT</t>
  </si>
  <si>
    <t>Taxes</t>
  </si>
  <si>
    <t>Net income</t>
  </si>
  <si>
    <t>Operating cash flow</t>
  </si>
  <si>
    <t>e.</t>
  </si>
  <si>
    <t>Year</t>
  </si>
  <si>
    <t>Cash Flow</t>
  </si>
  <si>
    <t>f.</t>
  </si>
  <si>
    <t>MV(S)</t>
  </si>
  <si>
    <t>MV(B)</t>
  </si>
  <si>
    <t>S/V</t>
  </si>
  <si>
    <t>B/V</t>
  </si>
  <si>
    <t>Question 16</t>
  </si>
  <si>
    <t>Bond 1:</t>
  </si>
  <si>
    <t>Bond 2:</t>
  </si>
  <si>
    <t>Market value of bond 1</t>
  </si>
  <si>
    <t>Market value of bond 2</t>
  </si>
  <si>
    <t>Bond 1 pretax cost</t>
  </si>
  <si>
    <t>Bond 1 aftertax cost</t>
  </si>
  <si>
    <t>Bond 2 pretax cost</t>
  </si>
  <si>
    <t>Bond 2 aftertax cost</t>
  </si>
  <si>
    <t>Question 14</t>
  </si>
  <si>
    <t>Question 15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</si>
  <si>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</si>
  <si>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</si>
  <si>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</si>
  <si>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</si>
  <si>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13</t>
  </si>
  <si>
    <t>Dividend per share</t>
  </si>
  <si>
    <t>Stock price</t>
  </si>
  <si>
    <r>
      <t>R</t>
    </r>
    <r>
      <rPr>
        <vertAlign val="subscript"/>
        <sz val="12"/>
        <color indexed="8"/>
        <rFont val="Arial"/>
        <family val="2"/>
      </rPr>
      <t>E</t>
    </r>
    <r>
      <rPr>
        <sz val="12"/>
        <color indexed="8"/>
        <rFont val="Arial"/>
        <family val="2"/>
      </rPr>
      <t>: CAPM</t>
    </r>
  </si>
  <si>
    <t>the CAPM, you must remember that both</t>
  </si>
  <si>
    <t>are only estimates for the cost of equity.</t>
  </si>
  <si>
    <t>Additionally, and perhaps more importantly,</t>
  </si>
  <si>
    <t xml:space="preserve">each method of estimating the cost of </t>
  </si>
  <si>
    <t>equity depends upon different assumptions.</t>
  </si>
  <si>
    <t>Project cost</t>
  </si>
  <si>
    <t>Percentage equity</t>
  </si>
  <si>
    <t xml:space="preserve">  raised internally</t>
  </si>
  <si>
    <r>
      <t>w</t>
    </r>
    <r>
      <rPr>
        <vertAlign val="subscript"/>
        <sz val="12"/>
        <color indexed="8"/>
        <rFont val="Arial"/>
        <family val="2"/>
      </rPr>
      <t>D</t>
    </r>
  </si>
  <si>
    <r>
      <t>w</t>
    </r>
    <r>
      <rPr>
        <vertAlign val="subscript"/>
        <sz val="12"/>
        <color indexed="8"/>
        <rFont val="Arial"/>
        <family val="2"/>
      </rPr>
      <t>E</t>
    </r>
  </si>
  <si>
    <t>Question 22</t>
  </si>
  <si>
    <t>Question 21</t>
  </si>
  <si>
    <t>Flotation costs</t>
  </si>
  <si>
    <t>Equity flotation cost</t>
  </si>
  <si>
    <t>Debt flotation costs</t>
  </si>
  <si>
    <t>Total costs</t>
  </si>
  <si>
    <t>f(T)</t>
  </si>
  <si>
    <t>Question 20</t>
  </si>
  <si>
    <t>Question 19</t>
  </si>
  <si>
    <t>Question 18</t>
  </si>
  <si>
    <t xml:space="preserve">Cost </t>
  </si>
  <si>
    <t>Debt flotation cost</t>
  </si>
  <si>
    <t xml:space="preserve">He should look at the weighted average </t>
  </si>
  <si>
    <r>
      <t>f</t>
    </r>
    <r>
      <rPr>
        <vertAlign val="subscript"/>
        <sz val="12"/>
        <color indexed="8"/>
        <rFont val="Arial"/>
        <family val="2"/>
      </rPr>
      <t>T</t>
    </r>
  </si>
  <si>
    <t>Cost</t>
  </si>
  <si>
    <t>Even if the specific funds are actually being</t>
  </si>
  <si>
    <t xml:space="preserve">raised completely from debt, the flotation </t>
  </si>
  <si>
    <t>costs and hence true investment cost should</t>
  </si>
  <si>
    <t xml:space="preserve">be valued as if the firm's target capital </t>
  </si>
  <si>
    <t>structure is used.</t>
  </si>
  <si>
    <t>Capital structure:</t>
  </si>
  <si>
    <t>Preferred stock</t>
  </si>
  <si>
    <t>Flotation cost:</t>
  </si>
  <si>
    <t>Question 17</t>
  </si>
  <si>
    <t xml:space="preserve">The aftertax rate is more relevant because </t>
  </si>
  <si>
    <t>Weight of bond I</t>
  </si>
  <si>
    <t>Weight of bond II</t>
  </si>
  <si>
    <t>Current land value</t>
  </si>
  <si>
    <t>Land value in 5 years</t>
  </si>
  <si>
    <t>Plant &amp; Equipment cost</t>
  </si>
  <si>
    <t>Does the NWC require</t>
  </si>
  <si>
    <t xml:space="preserve">The cost of the land 3 years ago is a sunk </t>
  </si>
  <si>
    <t>cost and is irrelevant.</t>
  </si>
  <si>
    <t>Equity flotation costs</t>
  </si>
  <si>
    <t>A/P flotation costs</t>
  </si>
  <si>
    <t>Preferred flotation cost</t>
  </si>
  <si>
    <t>flotation costs (Yes/No)</t>
  </si>
  <si>
    <t>Plant (including flotation)</t>
  </si>
  <si>
    <r>
      <t>R</t>
    </r>
    <r>
      <rPr>
        <vertAlign val="subscript"/>
        <sz val="12"/>
        <color indexed="8"/>
        <rFont val="Arial"/>
        <family val="2"/>
      </rPr>
      <t>E</t>
    </r>
    <r>
      <rPr>
        <sz val="12"/>
        <color indexed="8"/>
        <rFont val="Arial"/>
        <family val="2"/>
      </rPr>
      <t>: DDM</t>
    </r>
  </si>
  <si>
    <r>
      <rPr>
        <i/>
        <sz val="12"/>
        <color indexed="8"/>
        <rFont val="Arial"/>
        <family val="2"/>
      </rPr>
      <t>R</t>
    </r>
    <r>
      <rPr>
        <i/>
        <vertAlign val="subscript"/>
        <sz val="12"/>
        <color indexed="8"/>
        <rFont val="Arial"/>
        <family val="2"/>
      </rPr>
      <t>D</t>
    </r>
  </si>
  <si>
    <r>
      <t>R</t>
    </r>
    <r>
      <rPr>
        <i/>
        <vertAlign val="subscript"/>
        <sz val="12"/>
        <color indexed="8"/>
        <rFont val="Arial"/>
        <family val="2"/>
      </rPr>
      <t>E</t>
    </r>
  </si>
  <si>
    <t>Accounts payable weight</t>
  </si>
  <si>
    <t>Question 24</t>
  </si>
  <si>
    <t>Question 23</t>
  </si>
  <si>
    <t>Current cash flow from assets</t>
  </si>
  <si>
    <t>Initial growth rate in CFA</t>
  </si>
  <si>
    <t>Cash flows:</t>
  </si>
  <si>
    <t>Year 1</t>
  </si>
  <si>
    <t>Year 2</t>
  </si>
  <si>
    <t>Year 3</t>
  </si>
  <si>
    <t>Year 4</t>
  </si>
  <si>
    <t>Year 5</t>
  </si>
  <si>
    <t>Year 6</t>
  </si>
  <si>
    <t>Terminal CFA growth rate</t>
  </si>
  <si>
    <t>Schultz WACC</t>
  </si>
  <si>
    <t>Arras WACC</t>
  </si>
  <si>
    <t>Teminal value</t>
  </si>
  <si>
    <t>Value of company today</t>
  </si>
  <si>
    <t>EV/EBITDA multiple</t>
  </si>
  <si>
    <t>Problems 1-24</t>
  </si>
  <si>
    <t>Debt value</t>
  </si>
  <si>
    <t xml:space="preserve">Value of equity </t>
  </si>
  <si>
    <t>Depreciation percentage</t>
  </si>
  <si>
    <t>Perpetual growth rate in CF</t>
  </si>
  <si>
    <t>EBIT 5 year growth rate</t>
  </si>
  <si>
    <t>Net working capital percentage</t>
  </si>
  <si>
    <t>Capital spending percentage</t>
  </si>
  <si>
    <t>Debt market value</t>
  </si>
  <si>
    <t>Equity market value</t>
  </si>
  <si>
    <t>Weight of debt</t>
  </si>
  <si>
    <t>Weight of equity</t>
  </si>
  <si>
    <t>- Capital spending</t>
  </si>
  <si>
    <t>- Change in NWC</t>
  </si>
  <si>
    <t>Projected EBIT in one year</t>
  </si>
  <si>
    <t>Year 5 terminal value</t>
  </si>
  <si>
    <t>Value of equity</t>
  </si>
  <si>
    <t>Year 5 EBITDA</t>
  </si>
  <si>
    <t>Happy Times:</t>
  </si>
  <si>
    <t>OCF</t>
  </si>
  <si>
    <t>Joe's:</t>
  </si>
  <si>
    <t>Par value ($)</t>
  </si>
  <si>
    <t>Taxes*</t>
  </si>
  <si>
    <t>CFA*</t>
  </si>
  <si>
    <t>Bond price ($)</t>
  </si>
  <si>
    <t>No</t>
  </si>
  <si>
    <t>Par value</t>
  </si>
  <si>
    <t>flotation cost, not only the debt cost.</t>
  </si>
  <si>
    <t>Break-even cost</t>
  </si>
  <si>
    <t>Long-term debt weight</t>
  </si>
  <si>
    <t>Accounting break-even</t>
  </si>
  <si>
    <t xml:space="preserve">When using the dividend discount model 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</si>
</sst>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00%"/>
    <numFmt numFmtId="167" formatCode="0_);\(0\)"/>
    <numFmt numFmtId="168" formatCode="0.00_);\(0.00\)"/>
    <numFmt numFmtId="169" formatCode="#,##0.0000_);\(#,##0.0000\)"/>
    <numFmt numFmtId="170" formatCode="0.0000%"/>
    <numFmt numFmtId="171" formatCode="_(* #,##0_);_(* \(#,##0\);_(* &quot;-&quot;??_);_(@_)"/>
    <numFmt numFmtId="172" formatCode="_(&quot;$&quot;* #,##0_);_(&quot;$&quot;* \(#,##0\);_(&quot;$&quot;* &quot;-&quot;??_);_(@_)"/>
    <numFmt numFmtId="173" formatCode="#,##0.00;[Red]#,##0.00"/>
    <numFmt numFmtId="174" formatCode="_(* #,##0.0000_);_(* \(#,##0.0000\);_(* &quot;-&quot;????_);_(@_)"/>
    <numFmt numFmtId="175" formatCode="_(* #,##0.0_);_(* \(#,##0.0\);_(* &quot;-&quot;_);_(@_)"/>
    <numFmt numFmtId="176" formatCode="_(* #,##0.00_);_(* \(#,##0.00\);_(* &quot;-&quot;_);_(@_)"/>
    <numFmt numFmtId="177" formatCode="mm/dd/yy;@"/>
    <numFmt numFmtId="178" formatCode="0.0000"/>
    <numFmt numFmtId="179" formatCode="0.00000000"/>
    <numFmt numFmtId="180" formatCode="_(* #,##0.000_);_(* \(#,##0.000\);_(* &quot;-&quot;??_);_(@_)"/>
    <numFmt numFmtId="181" formatCode="_(* #,##0.000_);_(* \(#,##0.000\);_(* &quot;-&quot;????_);_(@_)"/>
    <numFmt numFmtId="182" formatCode="_(&quot;$&quot;* #,##0.00_);_(&quot;$&quot;* \(#,##0.00\);_(&quot;$&quot;* &quot;-&quot;_);_(@_)"/>
    <numFmt numFmtId="183" formatCode="_(* #,##0_);_(* \(#,##0\);_(* &quot;-&quot;????_);_(@_)"/>
    <numFmt numFmtId="184" formatCode="0.00000"/>
    <numFmt numFmtId="185" formatCode="_(&quot;$&quot;* #,##0.00000_);_(&quot;$&quot;* \(#,##0.00000\);_(&quot;$&quot;* &quot;-&quot;_);_(@_)"/>
  </numFmts>
  <fonts count="2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2"/>
      <color indexed="12"/>
      <name val="Arial"/>
      <family val="2"/>
    </font>
    <font>
      <vertAlign val="subscript"/>
      <sz val="12"/>
      <color indexed="8"/>
      <name val="Arial"/>
      <family val="2"/>
    </font>
    <font>
      <sz val="12"/>
      <color indexed="10"/>
      <name val="Arial"/>
      <family val="2"/>
    </font>
    <font>
      <i/>
      <u/>
      <sz val="12"/>
      <color indexed="8"/>
      <name val="Arial"/>
      <family val="2"/>
    </font>
    <font>
      <i/>
      <u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i/>
      <vertAlign val="subscript"/>
      <sz val="12"/>
      <color indexed="8"/>
      <name val="Arial"/>
      <family val="2"/>
    </font>
    <font>
      <sz val="12"/>
      <color rgb="FF0000FF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5" fillId="2" borderId="0" xfId="0" applyFont="1" applyFill="1" applyBorder="1"/>
    <xf numFmtId="0" fontId="5" fillId="2" borderId="7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10" fontId="6" fillId="3" borderId="9" xfId="0" applyNumberFormat="1" applyFont="1" applyFill="1" applyBorder="1"/>
    <xf numFmtId="10" fontId="7" fillId="3" borderId="0" xfId="0" applyNumberFormat="1" applyFont="1" applyFill="1" applyBorder="1"/>
    <xf numFmtId="0" fontId="8" fillId="2" borderId="0" xfId="0" applyFont="1" applyFill="1" applyBorder="1"/>
    <xf numFmtId="166" fontId="7" fillId="3" borderId="0" xfId="0" applyNumberFormat="1" applyFont="1" applyFill="1" applyBorder="1"/>
    <xf numFmtId="166" fontId="6" fillId="3" borderId="0" xfId="0" applyNumberFormat="1" applyFont="1" applyFill="1" applyBorder="1"/>
    <xf numFmtId="5" fontId="7" fillId="3" borderId="0" xfId="0" applyNumberFormat="1" applyFont="1" applyFill="1" applyBorder="1"/>
    <xf numFmtId="5" fontId="6" fillId="3" borderId="0" xfId="0" applyNumberFormat="1" applyFont="1" applyFill="1" applyBorder="1"/>
    <xf numFmtId="1" fontId="4" fillId="2" borderId="0" xfId="0" applyNumberFormat="1" applyFont="1" applyFill="1" applyBorder="1"/>
    <xf numFmtId="165" fontId="7" fillId="3" borderId="0" xfId="0" applyNumberFormat="1" applyFont="1" applyFill="1" applyBorder="1"/>
    <xf numFmtId="170" fontId="7" fillId="3" borderId="0" xfId="0" applyNumberFormat="1" applyFont="1" applyFill="1" applyBorder="1"/>
    <xf numFmtId="164" fontId="7" fillId="3" borderId="0" xfId="0" applyNumberFormat="1" applyFont="1" applyFill="1" applyBorder="1"/>
    <xf numFmtId="170" fontId="5" fillId="3" borderId="7" xfId="0" applyNumberFormat="1" applyFont="1" applyFill="1" applyBorder="1"/>
    <xf numFmtId="0" fontId="5" fillId="0" borderId="0" xfId="0" applyFont="1" applyFill="1" applyBorder="1"/>
    <xf numFmtId="9" fontId="4" fillId="0" borderId="0" xfId="0" applyNumberFormat="1" applyFont="1" applyFill="1" applyBorder="1"/>
    <xf numFmtId="5" fontId="4" fillId="2" borderId="7" xfId="0" applyNumberFormat="1" applyFont="1" applyFill="1" applyBorder="1"/>
    <xf numFmtId="0" fontId="2" fillId="0" borderId="0" xfId="0" applyFont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0" fillId="2" borderId="5" xfId="0" applyFill="1" applyBorder="1"/>
    <xf numFmtId="0" fontId="5" fillId="2" borderId="5" xfId="0" applyFont="1" applyFill="1" applyBorder="1"/>
    <xf numFmtId="0" fontId="2" fillId="2" borderId="7" xfId="0" applyFont="1" applyFill="1" applyBorder="1"/>
    <xf numFmtId="0" fontId="5" fillId="2" borderId="8" xfId="0" applyFont="1" applyFill="1" applyBorder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9" fontId="4" fillId="0" borderId="0" xfId="3" applyFont="1" applyFill="1" applyBorder="1" applyAlignment="1">
      <alignment horizontal="right"/>
    </xf>
    <xf numFmtId="0" fontId="0" fillId="0" borderId="0" xfId="0" applyFill="1" applyBorder="1"/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172" fontId="6" fillId="3" borderId="0" xfId="2" applyNumberFormat="1" applyFont="1" applyFill="1" applyBorder="1"/>
    <xf numFmtId="172" fontId="6" fillId="3" borderId="9" xfId="2" applyNumberFormat="1" applyFont="1" applyFill="1" applyBorder="1"/>
    <xf numFmtId="0" fontId="5" fillId="2" borderId="7" xfId="0" applyFont="1" applyFill="1" applyBorder="1" applyAlignment="1">
      <alignment horizontal="left"/>
    </xf>
    <xf numFmtId="172" fontId="7" fillId="3" borderId="0" xfId="2" applyNumberFormat="1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172" fontId="5" fillId="3" borderId="0" xfId="2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0" fillId="4" borderId="0" xfId="0" applyNumberFormat="1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9" fontId="17" fillId="2" borderId="0" xfId="0" applyNumberFormat="1" applyFont="1" applyFill="1" applyBorder="1"/>
    <xf numFmtId="5" fontId="17" fillId="2" borderId="0" xfId="0" applyNumberFormat="1" applyFont="1" applyFill="1" applyBorder="1"/>
    <xf numFmtId="39" fontId="17" fillId="2" borderId="0" xfId="0" applyNumberFormat="1" applyFont="1" applyFill="1" applyBorder="1"/>
    <xf numFmtId="164" fontId="17" fillId="2" borderId="0" xfId="0" applyNumberFormat="1" applyFont="1" applyFill="1" applyBorder="1"/>
    <xf numFmtId="10" fontId="19" fillId="3" borderId="0" xfId="0" applyNumberFormat="1" applyFont="1" applyFill="1" applyBorder="1"/>
    <xf numFmtId="42" fontId="17" fillId="2" borderId="0" xfId="0" applyNumberFormat="1" applyFont="1" applyFill="1" applyBorder="1"/>
    <xf numFmtId="177" fontId="17" fillId="2" borderId="0" xfId="0" applyNumberFormat="1" applyFont="1" applyFill="1" applyBorder="1"/>
    <xf numFmtId="41" fontId="17" fillId="2" borderId="0" xfId="0" applyNumberFormat="1" applyFont="1" applyFill="1" applyBorder="1"/>
    <xf numFmtId="0" fontId="8" fillId="3" borderId="4" xfId="0" applyFont="1" applyFill="1" applyBorder="1"/>
    <xf numFmtId="37" fontId="17" fillId="2" borderId="0" xfId="0" applyNumberFormat="1" applyFont="1" applyFill="1" applyBorder="1"/>
    <xf numFmtId="9" fontId="19" fillId="2" borderId="0" xfId="0" applyNumberFormat="1" applyFont="1" applyFill="1" applyBorder="1"/>
    <xf numFmtId="5" fontId="6" fillId="3" borderId="10" xfId="0" applyNumberFormat="1" applyFont="1" applyFill="1" applyBorder="1"/>
    <xf numFmtId="42" fontId="6" fillId="3" borderId="9" xfId="0" applyNumberFormat="1" applyFont="1" applyFill="1" applyBorder="1"/>
    <xf numFmtId="166" fontId="19" fillId="3" borderId="0" xfId="0" applyNumberFormat="1" applyFont="1" applyFill="1" applyBorder="1"/>
    <xf numFmtId="10" fontId="19" fillId="3" borderId="0" xfId="0" applyNumberFormat="1" applyFont="1" applyFill="1" applyBorder="1" applyAlignment="1">
      <alignment horizontal="center"/>
    </xf>
    <xf numFmtId="168" fontId="17" fillId="2" borderId="0" xfId="0" applyNumberFormat="1" applyFont="1" applyFill="1" applyBorder="1"/>
    <xf numFmtId="10" fontId="17" fillId="2" borderId="0" xfId="0" applyNumberFormat="1" applyFont="1" applyFill="1" applyBorder="1"/>
    <xf numFmtId="174" fontId="6" fillId="3" borderId="9" xfId="0" applyNumberFormat="1" applyFont="1" applyFill="1" applyBorder="1"/>
    <xf numFmtId="42" fontId="19" fillId="3" borderId="0" xfId="0" applyNumberFormat="1" applyFont="1" applyFill="1" applyBorder="1"/>
    <xf numFmtId="169" fontId="6" fillId="3" borderId="9" xfId="0" applyNumberFormat="1" applyFont="1" applyFill="1" applyBorder="1"/>
    <xf numFmtId="41" fontId="19" fillId="2" borderId="0" xfId="0" applyNumberFormat="1" applyFont="1" applyFill="1" applyBorder="1"/>
    <xf numFmtId="42" fontId="19" fillId="2" borderId="0" xfId="0" applyNumberFormat="1" applyFont="1" applyFill="1" applyBorder="1"/>
    <xf numFmtId="10" fontId="19" fillId="2" borderId="0" xfId="0" applyNumberFormat="1" applyFont="1" applyFill="1" applyBorder="1"/>
    <xf numFmtId="5" fontId="19" fillId="3" borderId="0" xfId="0" applyNumberFormat="1" applyFont="1" applyFill="1" applyBorder="1"/>
    <xf numFmtId="177" fontId="19" fillId="2" borderId="0" xfId="0" applyNumberFormat="1" applyFont="1" applyFill="1" applyBorder="1"/>
    <xf numFmtId="43" fontId="17" fillId="2" borderId="0" xfId="0" applyNumberFormat="1" applyFont="1" applyFill="1" applyBorder="1"/>
    <xf numFmtId="0" fontId="3" fillId="2" borderId="4" xfId="0" applyFont="1" applyFill="1" applyBorder="1"/>
    <xf numFmtId="166" fontId="6" fillId="3" borderId="10" xfId="0" applyNumberFormat="1" applyFont="1" applyFill="1" applyBorder="1"/>
    <xf numFmtId="171" fontId="17" fillId="2" borderId="0" xfId="1" applyNumberFormat="1" applyFont="1" applyFill="1" applyBorder="1"/>
    <xf numFmtId="172" fontId="17" fillId="2" borderId="0" xfId="2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71" fontId="17" fillId="2" borderId="0" xfId="1" applyNumberFormat="1" applyFont="1" applyFill="1" applyBorder="1" applyAlignment="1">
      <alignment horizontal="right"/>
    </xf>
    <xf numFmtId="43" fontId="17" fillId="2" borderId="0" xfId="1" applyFont="1" applyFill="1" applyBorder="1" applyAlignment="1">
      <alignment horizontal="right"/>
    </xf>
    <xf numFmtId="0" fontId="20" fillId="2" borderId="0" xfId="0" applyFont="1" applyFill="1" applyBorder="1" applyAlignment="1">
      <alignment horizontal="center"/>
    </xf>
    <xf numFmtId="171" fontId="20" fillId="2" borderId="0" xfId="1" applyNumberFormat="1" applyFont="1" applyFill="1" applyBorder="1" applyAlignment="1">
      <alignment horizontal="center"/>
    </xf>
    <xf numFmtId="173" fontId="17" fillId="2" borderId="0" xfId="1" applyNumberFormat="1" applyFont="1" applyFill="1" applyBorder="1" applyAlignment="1">
      <alignment horizontal="center"/>
    </xf>
    <xf numFmtId="167" fontId="17" fillId="2" borderId="0" xfId="0" applyNumberFormat="1" applyFont="1" applyFill="1" applyBorder="1"/>
    <xf numFmtId="0" fontId="17" fillId="2" borderId="0" xfId="0" applyFont="1" applyFill="1" applyBorder="1"/>
    <xf numFmtId="0" fontId="20" fillId="3" borderId="0" xfId="0" applyFont="1" applyFill="1" applyBorder="1" applyAlignment="1">
      <alignment horizontal="center"/>
    </xf>
    <xf numFmtId="5" fontId="21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5" fontId="6" fillId="3" borderId="9" xfId="0" applyNumberFormat="1" applyFont="1" applyFill="1" applyBorder="1" applyAlignment="1">
      <alignment horizontal="center"/>
    </xf>
    <xf numFmtId="164" fontId="21" fillId="3" borderId="0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center"/>
    </xf>
    <xf numFmtId="10" fontId="19" fillId="3" borderId="0" xfId="3" applyNumberFormat="1" applyFont="1" applyFill="1" applyBorder="1"/>
    <xf numFmtId="172" fontId="19" fillId="3" borderId="0" xfId="2" applyNumberFormat="1" applyFont="1" applyFill="1" applyBorder="1"/>
    <xf numFmtId="42" fontId="17" fillId="2" borderId="0" xfId="3" applyNumberFormat="1" applyFont="1" applyFill="1" applyBorder="1" applyAlignment="1">
      <alignment horizontal="right"/>
    </xf>
    <xf numFmtId="41" fontId="17" fillId="2" borderId="0" xfId="3" applyNumberFormat="1" applyFont="1" applyFill="1" applyBorder="1" applyAlignment="1">
      <alignment horizontal="right"/>
    </xf>
    <xf numFmtId="42" fontId="19" fillId="3" borderId="0" xfId="3" applyNumberFormat="1" applyFont="1" applyFill="1" applyBorder="1"/>
    <xf numFmtId="42" fontId="6" fillId="3" borderId="9" xfId="3" applyNumberFormat="1" applyFont="1" applyFill="1" applyBorder="1"/>
    <xf numFmtId="42" fontId="19" fillId="3" borderId="11" xfId="0" applyNumberFormat="1" applyFont="1" applyFill="1" applyBorder="1"/>
    <xf numFmtId="42" fontId="19" fillId="3" borderId="0" xfId="2" applyNumberFormat="1" applyFont="1" applyFill="1" applyBorder="1"/>
    <xf numFmtId="172" fontId="20" fillId="3" borderId="0" xfId="2" applyNumberFormat="1" applyFont="1" applyFill="1" applyBorder="1" applyAlignment="1">
      <alignment horizontal="center"/>
    </xf>
    <xf numFmtId="172" fontId="19" fillId="3" borderId="0" xfId="2" applyNumberFormat="1" applyFont="1" applyFill="1" applyBorder="1" applyAlignment="1">
      <alignment horizontal="center"/>
    </xf>
    <xf numFmtId="10" fontId="6" fillId="3" borderId="9" xfId="2" applyNumberFormat="1" applyFont="1" applyFill="1" applyBorder="1"/>
    <xf numFmtId="44" fontId="6" fillId="3" borderId="9" xfId="2" applyNumberFormat="1" applyFont="1" applyFill="1" applyBorder="1"/>
    <xf numFmtId="41" fontId="6" fillId="3" borderId="9" xfId="2" applyNumberFormat="1" applyFont="1" applyFill="1" applyBorder="1"/>
    <xf numFmtId="0" fontId="22" fillId="0" borderId="0" xfId="0" applyFont="1"/>
    <xf numFmtId="175" fontId="17" fillId="2" borderId="0" xfId="0" applyNumberFormat="1" applyFont="1" applyFill="1" applyBorder="1"/>
    <xf numFmtId="175" fontId="19" fillId="2" borderId="0" xfId="0" applyNumberFormat="1" applyFont="1" applyFill="1" applyBorder="1"/>
    <xf numFmtId="164" fontId="17" fillId="2" borderId="0" xfId="3" applyNumberFormat="1" applyFont="1" applyFill="1" applyBorder="1" applyAlignment="1">
      <alignment horizontal="right"/>
    </xf>
    <xf numFmtId="10" fontId="17" fillId="2" borderId="0" xfId="3" applyNumberFormat="1" applyFont="1" applyFill="1" applyBorder="1"/>
    <xf numFmtId="176" fontId="17" fillId="2" borderId="0" xfId="0" applyNumberFormat="1" applyFont="1" applyFill="1" applyBorder="1"/>
    <xf numFmtId="14" fontId="17" fillId="2" borderId="0" xfId="0" applyNumberFormat="1" applyFont="1" applyFill="1" applyBorder="1"/>
    <xf numFmtId="9" fontId="17" fillId="2" borderId="0" xfId="3" applyFont="1" applyFill="1" applyBorder="1"/>
    <xf numFmtId="0" fontId="3" fillId="2" borderId="0" xfId="0" applyFont="1" applyFill="1" applyBorder="1"/>
    <xf numFmtId="0" fontId="23" fillId="4" borderId="0" xfId="0" applyFont="1" applyFill="1" applyBorder="1"/>
    <xf numFmtId="0" fontId="2" fillId="0" borderId="0" xfId="4" applyFont="1"/>
    <xf numFmtId="0" fontId="22" fillId="0" borderId="0" xfId="4" applyFont="1"/>
    <xf numFmtId="0" fontId="1" fillId="0" borderId="0" xfId="4"/>
    <xf numFmtId="0" fontId="3" fillId="0" borderId="0" xfId="4" applyFont="1"/>
    <xf numFmtId="0" fontId="4" fillId="2" borderId="1" xfId="4" applyFont="1" applyFill="1" applyBorder="1"/>
    <xf numFmtId="0" fontId="4" fillId="2" borderId="2" xfId="4" applyFont="1" applyFill="1" applyBorder="1"/>
    <xf numFmtId="0" fontId="4" fillId="2" borderId="3" xfId="4" applyFont="1" applyFill="1" applyBorder="1"/>
    <xf numFmtId="0" fontId="4" fillId="2" borderId="4" xfId="4" applyFont="1" applyFill="1" applyBorder="1"/>
    <xf numFmtId="0" fontId="5" fillId="2" borderId="0" xfId="4" applyFont="1" applyFill="1" applyBorder="1"/>
    <xf numFmtId="39" fontId="17" fillId="2" borderId="0" xfId="4" applyNumberFormat="1" applyFont="1" applyFill="1" applyBorder="1"/>
    <xf numFmtId="0" fontId="4" fillId="2" borderId="5" xfId="4" applyFont="1" applyFill="1" applyBorder="1"/>
    <xf numFmtId="44" fontId="17" fillId="2" borderId="0" xfId="4" applyNumberFormat="1" applyFont="1" applyFill="1" applyBorder="1"/>
    <xf numFmtId="164" fontId="17" fillId="2" borderId="0" xfId="4" applyNumberFormat="1" applyFont="1" applyFill="1" applyBorder="1"/>
    <xf numFmtId="0" fontId="4" fillId="2" borderId="6" xfId="4" applyFont="1" applyFill="1" applyBorder="1"/>
    <xf numFmtId="0" fontId="5" fillId="2" borderId="7" xfId="4" applyFont="1" applyFill="1" applyBorder="1"/>
    <xf numFmtId="0" fontId="4" fillId="2" borderId="7" xfId="4" applyFont="1" applyFill="1" applyBorder="1"/>
    <xf numFmtId="0" fontId="4" fillId="2" borderId="8" xfId="4" applyFont="1" applyFill="1" applyBorder="1"/>
    <xf numFmtId="0" fontId="5" fillId="3" borderId="1" xfId="4" applyFont="1" applyFill="1" applyBorder="1"/>
    <xf numFmtId="0" fontId="5" fillId="3" borderId="2" xfId="4" applyFont="1" applyFill="1" applyBorder="1"/>
    <xf numFmtId="0" fontId="5" fillId="3" borderId="3" xfId="4" applyFont="1" applyFill="1" applyBorder="1"/>
    <xf numFmtId="0" fontId="8" fillId="3" borderId="4" xfId="4" applyFont="1" applyFill="1" applyBorder="1"/>
    <xf numFmtId="0" fontId="5" fillId="3" borderId="0" xfId="4" applyFont="1" applyFill="1" applyBorder="1"/>
    <xf numFmtId="10" fontId="6" fillId="3" borderId="9" xfId="4" applyNumberFormat="1" applyFont="1" applyFill="1" applyBorder="1"/>
    <xf numFmtId="0" fontId="5" fillId="3" borderId="5" xfId="4" applyFont="1" applyFill="1" applyBorder="1"/>
    <xf numFmtId="10" fontId="19" fillId="3" borderId="0" xfId="4" applyNumberFormat="1" applyFont="1" applyFill="1" applyBorder="1"/>
    <xf numFmtId="10" fontId="6" fillId="3" borderId="0" xfId="4" applyNumberFormat="1" applyFont="1" applyFill="1" applyBorder="1"/>
    <xf numFmtId="0" fontId="8" fillId="3" borderId="6" xfId="4" applyFont="1" applyFill="1" applyBorder="1"/>
    <xf numFmtId="0" fontId="5" fillId="3" borderId="7" xfId="4" applyFont="1" applyFill="1" applyBorder="1"/>
    <xf numFmtId="0" fontId="5" fillId="3" borderId="8" xfId="4" applyFont="1" applyFill="1" applyBorder="1"/>
    <xf numFmtId="0" fontId="2" fillId="0" borderId="0" xfId="4" applyFont="1" applyFill="1" applyBorder="1"/>
    <xf numFmtId="0" fontId="5" fillId="2" borderId="0" xfId="4" applyFont="1" applyFill="1" applyBorder="1" applyAlignment="1">
      <alignment horizontal="left"/>
    </xf>
    <xf numFmtId="0" fontId="5" fillId="2" borderId="5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4" fillId="2" borderId="5" xfId="4" applyFont="1" applyFill="1" applyBorder="1" applyAlignment="1">
      <alignment horizontal="right"/>
    </xf>
    <xf numFmtId="178" fontId="2" fillId="0" borderId="0" xfId="4" applyNumberFormat="1" applyFont="1"/>
    <xf numFmtId="0" fontId="5" fillId="2" borderId="7" xfId="4" applyFont="1" applyFill="1" applyBorder="1" applyAlignment="1">
      <alignment horizontal="left"/>
    </xf>
    <xf numFmtId="5" fontId="4" fillId="2" borderId="7" xfId="4" applyNumberFormat="1" applyFont="1" applyFill="1" applyBorder="1"/>
    <xf numFmtId="0" fontId="5" fillId="0" borderId="0" xfId="4" applyFont="1" applyFill="1" applyBorder="1"/>
    <xf numFmtId="9" fontId="4" fillId="0" borderId="0" xfId="4" applyNumberFormat="1" applyFont="1" applyFill="1" applyBorder="1"/>
    <xf numFmtId="0" fontId="5" fillId="3" borderId="4" xfId="4" applyFont="1" applyFill="1" applyBorder="1"/>
    <xf numFmtId="0" fontId="2" fillId="0" borderId="0" xfId="4" applyFont="1" applyBorder="1"/>
    <xf numFmtId="179" fontId="2" fillId="0" borderId="0" xfId="4" applyNumberFormat="1" applyFont="1" applyBorder="1"/>
    <xf numFmtId="0" fontId="5" fillId="3" borderId="6" xfId="4" applyFont="1" applyFill="1" applyBorder="1"/>
    <xf numFmtId="170" fontId="5" fillId="3" borderId="7" xfId="4" applyNumberFormat="1" applyFont="1" applyFill="1" applyBorder="1"/>
    <xf numFmtId="10" fontId="17" fillId="2" borderId="0" xfId="3" applyNumberFormat="1" applyFont="1" applyFill="1" applyBorder="1" applyAlignment="1">
      <alignment horizontal="right"/>
    </xf>
    <xf numFmtId="172" fontId="19" fillId="3" borderId="0" xfId="3" applyNumberFormat="1" applyFont="1" applyFill="1" applyBorder="1"/>
    <xf numFmtId="174" fontId="6" fillId="3" borderId="9" xfId="3" applyNumberFormat="1" applyFont="1" applyFill="1" applyBorder="1"/>
    <xf numFmtId="0" fontId="1" fillId="0" borderId="0" xfId="4" applyFill="1" applyBorder="1"/>
    <xf numFmtId="5" fontId="7" fillId="3" borderId="0" xfId="4" applyNumberFormat="1" applyFont="1" applyFill="1" applyBorder="1"/>
    <xf numFmtId="165" fontId="7" fillId="3" borderId="0" xfId="4" applyNumberFormat="1" applyFont="1" applyFill="1" applyBorder="1"/>
    <xf numFmtId="10" fontId="6" fillId="3" borderId="9" xfId="3" applyNumberFormat="1" applyFont="1" applyFill="1" applyBorder="1"/>
    <xf numFmtId="180" fontId="6" fillId="3" borderId="0" xfId="1" applyNumberFormat="1" applyFont="1" applyFill="1" applyBorder="1"/>
    <xf numFmtId="0" fontId="8" fillId="2" borderId="0" xfId="4" applyFont="1" applyFill="1" applyBorder="1" applyAlignment="1">
      <alignment horizontal="left"/>
    </xf>
    <xf numFmtId="9" fontId="24" fillId="2" borderId="0" xfId="3" applyFont="1" applyFill="1" applyBorder="1" applyAlignment="1">
      <alignment horizontal="right"/>
    </xf>
    <xf numFmtId="180" fontId="19" fillId="3" borderId="0" xfId="1" applyNumberFormat="1" applyFont="1" applyFill="1" applyBorder="1"/>
    <xf numFmtId="10" fontId="17" fillId="2" borderId="0" xfId="4" applyNumberFormat="1" applyFont="1" applyFill="1" applyBorder="1"/>
    <xf numFmtId="9" fontId="17" fillId="2" borderId="0" xfId="4" applyNumberFormat="1" applyFont="1" applyFill="1" applyBorder="1"/>
    <xf numFmtId="9" fontId="24" fillId="2" borderId="0" xfId="0" applyNumberFormat="1" applyFont="1" applyFill="1" applyBorder="1"/>
    <xf numFmtId="181" fontId="19" fillId="3" borderId="0" xfId="0" applyNumberFormat="1" applyFont="1" applyFill="1" applyBorder="1"/>
    <xf numFmtId="164" fontId="17" fillId="2" borderId="0" xfId="3" applyNumberFormat="1" applyFont="1" applyFill="1" applyBorder="1" applyAlignment="1">
      <alignment horizontal="center"/>
    </xf>
    <xf numFmtId="0" fontId="8" fillId="2" borderId="0" xfId="4" applyFont="1" applyFill="1" applyBorder="1"/>
    <xf numFmtId="41" fontId="17" fillId="2" borderId="0" xfId="4" applyNumberFormat="1" applyFont="1" applyFill="1" applyBorder="1"/>
    <xf numFmtId="0" fontId="2" fillId="2" borderId="0" xfId="4" applyFont="1" applyFill="1" applyBorder="1"/>
    <xf numFmtId="177" fontId="17" fillId="2" borderId="0" xfId="4" applyNumberFormat="1" applyFont="1" applyFill="1" applyBorder="1"/>
    <xf numFmtId="168" fontId="17" fillId="2" borderId="0" xfId="4" applyNumberFormat="1" applyFont="1" applyFill="1" applyBorder="1"/>
    <xf numFmtId="5" fontId="17" fillId="2" borderId="0" xfId="4" applyNumberFormat="1" applyFont="1" applyFill="1" applyBorder="1"/>
    <xf numFmtId="0" fontId="3" fillId="2" borderId="4" xfId="4" applyFont="1" applyFill="1" applyBorder="1"/>
    <xf numFmtId="42" fontId="19" fillId="3" borderId="0" xfId="4" applyNumberFormat="1" applyFont="1" applyFill="1" applyBorder="1"/>
    <xf numFmtId="42" fontId="19" fillId="3" borderId="11" xfId="4" applyNumberFormat="1" applyFont="1" applyFill="1" applyBorder="1"/>
    <xf numFmtId="174" fontId="19" fillId="3" borderId="0" xfId="4" applyNumberFormat="1" applyFont="1" applyFill="1" applyBorder="1"/>
    <xf numFmtId="172" fontId="7" fillId="3" borderId="0" xfId="3" applyNumberFormat="1" applyFont="1" applyFill="1" applyBorder="1"/>
    <xf numFmtId="0" fontId="20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/>
    </xf>
    <xf numFmtId="0" fontId="8" fillId="3" borderId="0" xfId="0" applyFont="1" applyFill="1" applyBorder="1"/>
    <xf numFmtId="2" fontId="24" fillId="3" borderId="0" xfId="4" applyNumberFormat="1" applyFont="1" applyFill="1" applyBorder="1"/>
    <xf numFmtId="41" fontId="19" fillId="3" borderId="0" xfId="2" applyNumberFormat="1" applyFont="1" applyFill="1" applyBorder="1"/>
    <xf numFmtId="41" fontId="19" fillId="3" borderId="11" xfId="2" applyNumberFormat="1" applyFont="1" applyFill="1" applyBorder="1"/>
    <xf numFmtId="41" fontId="19" fillId="3" borderId="0" xfId="2" applyNumberFormat="1" applyFont="1" applyFill="1" applyBorder="1" applyAlignment="1">
      <alignment horizontal="center"/>
    </xf>
    <xf numFmtId="41" fontId="19" fillId="3" borderId="0" xfId="3" applyNumberFormat="1" applyFont="1" applyFill="1" applyBorder="1"/>
    <xf numFmtId="41" fontId="17" fillId="2" borderId="0" xfId="2" applyNumberFormat="1" applyFont="1" applyFill="1" applyBorder="1" applyAlignment="1">
      <alignment horizontal="right"/>
    </xf>
    <xf numFmtId="172" fontId="24" fillId="3" borderId="0" xfId="3" applyNumberFormat="1" applyFont="1" applyFill="1" applyBorder="1"/>
    <xf numFmtId="182" fontId="6" fillId="3" borderId="9" xfId="3" applyNumberFormat="1" applyFont="1" applyFill="1" applyBorder="1"/>
    <xf numFmtId="172" fontId="19" fillId="3" borderId="0" xfId="4" applyNumberFormat="1" applyFont="1" applyFill="1" applyBorder="1"/>
    <xf numFmtId="0" fontId="8" fillId="3" borderId="0" xfId="4" applyFont="1" applyFill="1" applyBorder="1"/>
    <xf numFmtId="0" fontId="4" fillId="2" borderId="0" xfId="4" applyFont="1" applyFill="1" applyBorder="1"/>
    <xf numFmtId="172" fontId="26" fillId="2" borderId="0" xfId="2" applyNumberFormat="1" applyFont="1" applyFill="1" applyBorder="1" applyAlignment="1">
      <alignment horizontal="right"/>
    </xf>
    <xf numFmtId="9" fontId="26" fillId="2" borderId="0" xfId="3" applyFont="1" applyFill="1" applyBorder="1"/>
    <xf numFmtId="10" fontId="24" fillId="3" borderId="0" xfId="3" applyNumberFormat="1" applyFont="1" applyFill="1" applyBorder="1"/>
    <xf numFmtId="0" fontId="5" fillId="3" borderId="0" xfId="4" quotePrefix="1" applyFont="1" applyFill="1" applyBorder="1"/>
    <xf numFmtId="0" fontId="8" fillId="3" borderId="5" xfId="4" applyFont="1" applyFill="1" applyBorder="1"/>
    <xf numFmtId="0" fontId="27" fillId="0" borderId="0" xfId="4" applyFont="1"/>
    <xf numFmtId="42" fontId="3" fillId="3" borderId="0" xfId="4" applyNumberFormat="1" applyFont="1" applyFill="1" applyBorder="1" applyAlignment="1">
      <alignment horizontal="center"/>
    </xf>
    <xf numFmtId="42" fontId="6" fillId="3" borderId="0" xfId="3" applyNumberFormat="1" applyFont="1" applyFill="1" applyBorder="1"/>
    <xf numFmtId="183" fontId="19" fillId="3" borderId="0" xfId="4" applyNumberFormat="1" applyFont="1" applyFill="1" applyBorder="1"/>
    <xf numFmtId="183" fontId="19" fillId="3" borderId="11" xfId="4" applyNumberFormat="1" applyFont="1" applyFill="1" applyBorder="1"/>
    <xf numFmtId="41" fontId="19" fillId="3" borderId="11" xfId="4" applyNumberFormat="1" applyFont="1" applyFill="1" applyBorder="1"/>
    <xf numFmtId="6" fontId="19" fillId="3" borderId="0" xfId="3" applyNumberFormat="1" applyFont="1" applyFill="1" applyBorder="1"/>
    <xf numFmtId="41" fontId="17" fillId="2" borderId="0" xfId="3" applyNumberFormat="1" applyFont="1" applyFill="1" applyBorder="1"/>
    <xf numFmtId="0" fontId="3" fillId="2" borderId="0" xfId="4" applyFont="1" applyFill="1" applyBorder="1"/>
    <xf numFmtId="184" fontId="2" fillId="0" borderId="0" xfId="0" applyNumberFormat="1" applyFont="1"/>
    <xf numFmtId="166" fontId="2" fillId="0" borderId="0" xfId="3" applyNumberFormat="1" applyFont="1"/>
    <xf numFmtId="185" fontId="19" fillId="3" borderId="0" xfId="4" applyNumberFormat="1" applyFont="1" applyFill="1" applyBorder="1"/>
    <xf numFmtId="172" fontId="17" fillId="2" borderId="0" xfId="4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67"/>
    <col min="4" max="4" width="42.5703125" style="67" customWidth="1"/>
    <col min="5" max="16384" width="9.140625" style="67"/>
  </cols>
  <sheetData>
    <row r="1" spans="1:29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ht="59.25" x14ac:dyDescent="0.75">
      <c r="A12" s="65"/>
      <c r="B12" s="65"/>
      <c r="C12" s="65"/>
      <c r="D12" s="68" t="s">
        <v>159</v>
      </c>
      <c r="E12" s="65"/>
      <c r="F12" s="69"/>
      <c r="G12" s="65"/>
      <c r="H12" s="65"/>
      <c r="I12" s="65"/>
      <c r="J12" s="65"/>
      <c r="K12" s="65"/>
      <c r="L12" s="65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ht="23.25" x14ac:dyDescent="0.35">
      <c r="A14" s="65"/>
      <c r="B14" s="65"/>
      <c r="C14" s="65"/>
      <c r="D14" s="70" t="s">
        <v>232</v>
      </c>
      <c r="E14" s="65"/>
      <c r="F14" s="65"/>
      <c r="G14" s="65"/>
      <c r="H14" s="65"/>
      <c r="I14" s="65"/>
      <c r="J14" s="65"/>
      <c r="K14" s="65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ht="15" x14ac:dyDescent="0.2">
      <c r="A17" s="65"/>
      <c r="B17" s="65"/>
      <c r="C17" s="65"/>
      <c r="D17" s="71"/>
      <c r="E17" s="65"/>
      <c r="F17" s="65"/>
      <c r="G17" s="65"/>
      <c r="H17" s="65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ht="15.75" x14ac:dyDescent="0.25">
      <c r="A18" s="65"/>
      <c r="B18" s="65"/>
      <c r="C18" s="65"/>
      <c r="D18" s="72" t="s">
        <v>73</v>
      </c>
      <c r="E18" s="65"/>
      <c r="F18" s="65"/>
      <c r="G18" s="65"/>
      <c r="H18" s="65"/>
      <c r="I18" s="65"/>
      <c r="J18" s="65"/>
      <c r="K18" s="65"/>
      <c r="L18" s="6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ht="15.75" x14ac:dyDescent="0.25">
      <c r="A19" s="65"/>
      <c r="B19" s="65"/>
      <c r="C19" s="65"/>
      <c r="D19" s="73" t="s">
        <v>74</v>
      </c>
      <c r="E19" s="65"/>
      <c r="F19" s="65"/>
      <c r="G19" s="65"/>
      <c r="H19" s="65"/>
      <c r="I19" s="65"/>
      <c r="J19" s="65"/>
      <c r="K19" s="65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ht="15.75" x14ac:dyDescent="0.25">
      <c r="A20" s="65"/>
      <c r="B20" s="65"/>
      <c r="C20" s="65"/>
      <c r="D20" s="74" t="s">
        <v>75</v>
      </c>
      <c r="E20" s="65"/>
      <c r="F20" s="65"/>
      <c r="G20" s="65"/>
      <c r="H20" s="65"/>
      <c r="I20" s="65"/>
      <c r="J20" s="65"/>
      <c r="K20" s="65"/>
      <c r="L20" s="65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</row>
    <row r="21" spans="1:29" ht="15.75" x14ac:dyDescent="0.25">
      <c r="A21" s="65"/>
      <c r="B21" s="65"/>
      <c r="C21" s="65"/>
      <c r="D21" s="75" t="s">
        <v>76</v>
      </c>
      <c r="E21" s="65"/>
      <c r="F21" s="65"/>
      <c r="G21" s="65"/>
      <c r="H21" s="65"/>
      <c r="I21" s="65"/>
      <c r="J21" s="65"/>
      <c r="K21" s="65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15.75" x14ac:dyDescent="0.25">
      <c r="A22" s="65"/>
      <c r="B22" s="65"/>
      <c r="C22" s="65"/>
      <c r="D22" s="76" t="s">
        <v>77</v>
      </c>
      <c r="E22" s="65"/>
      <c r="F22" s="65"/>
      <c r="G22" s="65"/>
      <c r="H22" s="65"/>
      <c r="I22" s="65"/>
      <c r="J22" s="65"/>
      <c r="K22" s="65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ht="15" x14ac:dyDescent="0.2">
      <c r="A23" s="65"/>
      <c r="B23" s="65"/>
      <c r="C23" s="65"/>
      <c r="D23" s="71"/>
      <c r="E23" s="65"/>
      <c r="F23" s="65"/>
      <c r="G23" s="65"/>
      <c r="H23" s="65"/>
      <c r="I23" s="65"/>
      <c r="J23" s="65"/>
      <c r="K23" s="65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x14ac:dyDescent="0.2">
      <c r="A24" s="65"/>
      <c r="B24" s="65"/>
      <c r="C24" s="65"/>
      <c r="D24" s="146" t="s">
        <v>155</v>
      </c>
      <c r="E24" s="65"/>
      <c r="F24" s="65"/>
      <c r="G24" s="65"/>
      <c r="H24" s="65"/>
      <c r="I24" s="65"/>
      <c r="J24" s="65"/>
      <c r="K24" s="65"/>
      <c r="L24" s="65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x14ac:dyDescent="0.2">
      <c r="A25" s="65"/>
      <c r="B25" s="65"/>
      <c r="C25" s="65"/>
      <c r="D25" s="146" t="s">
        <v>156</v>
      </c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x14ac:dyDescent="0.2">
      <c r="A26" s="65"/>
      <c r="B26" s="65"/>
      <c r="C26" s="65"/>
      <c r="D26" s="146" t="s">
        <v>157</v>
      </c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x14ac:dyDescent="0.2">
      <c r="A27" s="65"/>
      <c r="B27" s="65"/>
      <c r="C27" s="65"/>
      <c r="D27" s="146" t="s">
        <v>158</v>
      </c>
      <c r="E27" s="65"/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29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29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1:29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0" spans="1:29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</row>
    <row r="41" spans="1:29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29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29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29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29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29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29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29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1:12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1:12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1:12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2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1:12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2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1:12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2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1:12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2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1:12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2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2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1:12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2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9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</row>
    <row r="2" spans="1:9" ht="15.75" customHeight="1" x14ac:dyDescent="0.2">
      <c r="A2" s="1"/>
      <c r="B2" s="1"/>
      <c r="C2" s="1" t="s">
        <v>25</v>
      </c>
      <c r="D2" s="1"/>
      <c r="E2" s="1"/>
      <c r="F2" s="1"/>
      <c r="G2" s="1"/>
      <c r="H2" s="1"/>
      <c r="I2" s="1"/>
    </row>
    <row r="3" spans="1:9" ht="15.7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</row>
    <row r="5" spans="1:9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 x14ac:dyDescent="0.2">
      <c r="A6" s="1"/>
      <c r="B6" s="3"/>
      <c r="C6" s="4"/>
      <c r="D6" s="4"/>
      <c r="E6" s="5"/>
      <c r="F6" s="1"/>
      <c r="G6" s="1"/>
      <c r="H6" s="1"/>
      <c r="I6" s="1"/>
    </row>
    <row r="7" spans="1:9" ht="15.75" customHeight="1" x14ac:dyDescent="0.2">
      <c r="A7" s="1"/>
      <c r="B7" s="6"/>
      <c r="C7" s="11" t="s">
        <v>42</v>
      </c>
      <c r="D7" s="98">
        <f>'#8'!D7</f>
        <v>7600000</v>
      </c>
      <c r="E7" s="7"/>
      <c r="F7" s="1"/>
      <c r="G7" s="1"/>
      <c r="H7" s="1"/>
      <c r="I7" s="1"/>
    </row>
    <row r="8" spans="1:9" ht="15.75" customHeight="1" x14ac:dyDescent="0.2">
      <c r="A8" s="1"/>
      <c r="B8" s="6"/>
      <c r="C8" s="11" t="s">
        <v>96</v>
      </c>
      <c r="D8" s="99">
        <f>'#8'!D8</f>
        <v>67</v>
      </c>
      <c r="E8" s="7"/>
      <c r="F8" s="1"/>
      <c r="G8" s="1"/>
      <c r="H8" s="1"/>
      <c r="I8" s="1"/>
    </row>
    <row r="9" spans="1:9" ht="15.75" customHeight="1" x14ac:dyDescent="0.2">
      <c r="A9" s="1"/>
      <c r="B9" s="6"/>
      <c r="C9" s="11" t="s">
        <v>97</v>
      </c>
      <c r="D9" s="99">
        <f>'#8'!D9</f>
        <v>4</v>
      </c>
      <c r="E9" s="7"/>
      <c r="F9" s="1"/>
      <c r="G9" s="1"/>
      <c r="H9" s="1"/>
      <c r="I9" s="1"/>
    </row>
    <row r="10" spans="1:9" ht="15.75" customHeight="1" x14ac:dyDescent="0.2">
      <c r="A10" s="1"/>
      <c r="B10" s="6"/>
      <c r="C10" s="24" t="s">
        <v>100</v>
      </c>
      <c r="D10" s="99"/>
      <c r="E10" s="7"/>
      <c r="F10" s="1"/>
      <c r="G10" s="1"/>
      <c r="H10" s="1"/>
      <c r="I10" s="1"/>
    </row>
    <row r="11" spans="1:9" ht="15.75" customHeight="1" x14ac:dyDescent="0.2">
      <c r="A11" s="1"/>
      <c r="B11" s="6"/>
      <c r="C11" s="11" t="s">
        <v>101</v>
      </c>
      <c r="D11" s="99">
        <f>'#8'!D11</f>
        <v>80000000</v>
      </c>
      <c r="E11" s="7"/>
      <c r="F11" s="1"/>
      <c r="G11" s="1"/>
      <c r="H11" s="1"/>
      <c r="I11" s="1"/>
    </row>
    <row r="12" spans="1:9" ht="15.75" customHeight="1" x14ac:dyDescent="0.2">
      <c r="A12" s="1"/>
      <c r="B12" s="6"/>
      <c r="C12" s="11" t="s">
        <v>19</v>
      </c>
      <c r="D12" s="100">
        <f>'#8'!D12</f>
        <v>6.8000000000000005E-2</v>
      </c>
      <c r="E12" s="7"/>
      <c r="F12" s="1"/>
      <c r="G12" s="1"/>
      <c r="H12" s="1"/>
      <c r="I12" s="1"/>
    </row>
    <row r="13" spans="1:9" ht="15.75" customHeight="1" x14ac:dyDescent="0.2">
      <c r="A13" s="1"/>
      <c r="B13" s="6"/>
      <c r="C13" s="40" t="s">
        <v>93</v>
      </c>
      <c r="D13" s="139">
        <f>'#8'!D13</f>
        <v>109.5</v>
      </c>
      <c r="E13" s="7"/>
      <c r="F13" s="1"/>
      <c r="G13" s="1"/>
      <c r="H13" s="1"/>
      <c r="I13" s="1"/>
    </row>
    <row r="14" spans="1:9" ht="15.75" customHeight="1" x14ac:dyDescent="0.2">
      <c r="A14" s="1"/>
      <c r="B14" s="6"/>
      <c r="C14" s="11" t="s">
        <v>89</v>
      </c>
      <c r="D14" s="102">
        <f>'#8'!D14</f>
        <v>36526</v>
      </c>
      <c r="E14" s="7"/>
      <c r="F14" s="1"/>
      <c r="G14" s="1"/>
      <c r="H14" s="1"/>
      <c r="I14" s="1"/>
    </row>
    <row r="15" spans="1:9" ht="15.75" customHeight="1" x14ac:dyDescent="0.2">
      <c r="A15" s="1"/>
      <c r="B15" s="6"/>
      <c r="C15" s="11" t="s">
        <v>90</v>
      </c>
      <c r="D15" s="102">
        <f>'#8'!D15</f>
        <v>39814</v>
      </c>
      <c r="E15" s="7"/>
      <c r="F15" s="1"/>
      <c r="G15" s="1"/>
      <c r="H15" s="1"/>
      <c r="I15" s="1"/>
    </row>
    <row r="16" spans="1:9" ht="15.75" customHeight="1" x14ac:dyDescent="0.2">
      <c r="A16" s="1"/>
      <c r="B16" s="6"/>
      <c r="C16" s="11" t="s">
        <v>82</v>
      </c>
      <c r="D16" s="98">
        <f>'#8'!D16</f>
        <v>2</v>
      </c>
      <c r="E16" s="7"/>
      <c r="F16" s="1"/>
      <c r="G16" s="1"/>
      <c r="H16" s="1"/>
      <c r="I16" s="1"/>
    </row>
    <row r="17" spans="1:9" ht="15.75" customHeight="1" x14ac:dyDescent="0.2">
      <c r="A17" s="1"/>
      <c r="B17" s="6"/>
      <c r="C17" s="24" t="s">
        <v>102</v>
      </c>
      <c r="D17" s="98"/>
      <c r="E17" s="7"/>
      <c r="F17" s="1"/>
      <c r="G17" s="1"/>
      <c r="H17" s="1"/>
      <c r="I17" s="1"/>
    </row>
    <row r="18" spans="1:9" ht="15.75" customHeight="1" x14ac:dyDescent="0.2">
      <c r="A18" s="1"/>
      <c r="B18" s="6"/>
      <c r="C18" s="11" t="s">
        <v>101</v>
      </c>
      <c r="D18" s="99">
        <f>'#8'!D18</f>
        <v>65000000</v>
      </c>
      <c r="E18" s="7"/>
      <c r="F18" s="1"/>
      <c r="G18" s="1"/>
      <c r="H18" s="1"/>
      <c r="I18" s="1"/>
    </row>
    <row r="19" spans="1:9" ht="15.75" customHeight="1" x14ac:dyDescent="0.2">
      <c r="A19" s="1"/>
      <c r="B19" s="6"/>
      <c r="C19" s="11" t="s">
        <v>19</v>
      </c>
      <c r="D19" s="100">
        <f>'#8'!D19</f>
        <v>7.0999999999999994E-2</v>
      </c>
      <c r="E19" s="7"/>
      <c r="F19" s="1"/>
      <c r="G19" s="1"/>
      <c r="H19" s="1"/>
      <c r="I19" s="1"/>
    </row>
    <row r="20" spans="1:9" ht="15.75" customHeight="1" x14ac:dyDescent="0.2">
      <c r="A20" s="1"/>
      <c r="B20" s="6"/>
      <c r="C20" s="40" t="s">
        <v>93</v>
      </c>
      <c r="D20" s="139">
        <f>'#8'!D20</f>
        <v>112.4</v>
      </c>
      <c r="E20" s="7"/>
      <c r="F20" s="1"/>
      <c r="G20" s="1"/>
      <c r="H20" s="1"/>
      <c r="I20" s="1"/>
    </row>
    <row r="21" spans="1:9" ht="15.75" customHeight="1" x14ac:dyDescent="0.2">
      <c r="A21" s="1"/>
      <c r="B21" s="6"/>
      <c r="C21" s="11" t="s">
        <v>89</v>
      </c>
      <c r="D21" s="102">
        <f>'#8'!D21</f>
        <v>36526</v>
      </c>
      <c r="E21" s="7"/>
      <c r="F21" s="1"/>
      <c r="G21" s="1"/>
      <c r="H21" s="1"/>
      <c r="I21" s="1"/>
    </row>
    <row r="22" spans="1:9" ht="15.75" customHeight="1" x14ac:dyDescent="0.2">
      <c r="A22" s="1"/>
      <c r="B22" s="6"/>
      <c r="C22" s="11" t="s">
        <v>90</v>
      </c>
      <c r="D22" s="102">
        <f>'#8'!D22</f>
        <v>45658</v>
      </c>
      <c r="E22" s="7"/>
      <c r="F22" s="1"/>
      <c r="G22" s="1"/>
      <c r="H22" s="1"/>
      <c r="I22" s="1"/>
    </row>
    <row r="23" spans="1:9" ht="15.75" customHeight="1" x14ac:dyDescent="0.2">
      <c r="A23" s="1"/>
      <c r="B23" s="6"/>
      <c r="C23" s="11" t="s">
        <v>82</v>
      </c>
      <c r="D23" s="98">
        <f>'#8'!D23</f>
        <v>2</v>
      </c>
      <c r="E23" s="7"/>
      <c r="F23" s="1"/>
      <c r="G23" s="1"/>
      <c r="H23" s="1"/>
      <c r="I23" s="1"/>
    </row>
    <row r="24" spans="1:9" ht="15.75" customHeight="1" x14ac:dyDescent="0.2">
      <c r="A24" s="1"/>
      <c r="B24" s="6"/>
      <c r="C24" s="11"/>
      <c r="D24" s="29"/>
      <c r="E24" s="7"/>
      <c r="F24" s="1"/>
      <c r="G24" s="1"/>
      <c r="H24" s="1"/>
      <c r="I24" s="1"/>
    </row>
    <row r="25" spans="1:9" ht="15.75" customHeight="1" x14ac:dyDescent="0.2">
      <c r="A25" s="1"/>
      <c r="B25" s="6"/>
      <c r="C25" s="11" t="s">
        <v>6</v>
      </c>
      <c r="D25" s="103">
        <v>1.1000000000000001</v>
      </c>
      <c r="E25" s="7"/>
      <c r="F25" s="1"/>
      <c r="G25" s="1"/>
      <c r="H25" s="1"/>
      <c r="I25" s="1"/>
    </row>
    <row r="26" spans="1:9" ht="15.75" customHeight="1" x14ac:dyDescent="0.2">
      <c r="A26" s="1"/>
      <c r="B26" s="6"/>
      <c r="C26" s="11" t="s">
        <v>7</v>
      </c>
      <c r="D26" s="141">
        <v>2.9000000000000001E-2</v>
      </c>
      <c r="E26" s="7"/>
      <c r="F26" s="1"/>
      <c r="G26" s="1"/>
      <c r="H26" s="1"/>
      <c r="I26" s="1"/>
    </row>
    <row r="27" spans="1:9" ht="15.75" customHeight="1" x14ac:dyDescent="0.2">
      <c r="A27" s="1"/>
      <c r="B27" s="6"/>
      <c r="C27" s="11" t="s">
        <v>9</v>
      </c>
      <c r="D27" s="141">
        <v>7.0000000000000007E-2</v>
      </c>
      <c r="E27" s="7"/>
      <c r="F27" s="1"/>
      <c r="G27" s="1"/>
      <c r="H27" s="1"/>
      <c r="I27" s="1"/>
    </row>
    <row r="28" spans="1:9" ht="15.75" customHeight="1" x14ac:dyDescent="0.2">
      <c r="A28" s="1"/>
      <c r="B28" s="6"/>
      <c r="C28" s="11" t="s">
        <v>14</v>
      </c>
      <c r="D28" s="78">
        <v>0.23</v>
      </c>
      <c r="E28" s="7"/>
      <c r="F28" s="1"/>
      <c r="G28" s="1"/>
      <c r="H28" s="1"/>
      <c r="I28" s="1"/>
    </row>
    <row r="29" spans="1:9" ht="15.75" customHeight="1" thickBot="1" x14ac:dyDescent="0.25">
      <c r="A29" s="1"/>
      <c r="B29" s="8"/>
      <c r="C29" s="12"/>
      <c r="D29" s="9"/>
      <c r="E29" s="10"/>
      <c r="F29" s="1"/>
      <c r="G29" s="1"/>
      <c r="H29" s="1"/>
      <c r="I29" s="1"/>
    </row>
    <row r="30" spans="1:9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x14ac:dyDescent="0.2">
      <c r="A31" s="1"/>
      <c r="B31" s="1"/>
      <c r="C31" s="2" t="s">
        <v>2</v>
      </c>
      <c r="D31" s="1"/>
      <c r="E31" s="1"/>
      <c r="F31" s="1"/>
      <c r="G31" s="1"/>
      <c r="H31" s="1"/>
      <c r="I31" s="1"/>
    </row>
    <row r="32" spans="1:9" ht="15.75" customHeight="1" thickBot="1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1"/>
      <c r="B33" s="13"/>
      <c r="C33" s="14"/>
      <c r="D33" s="14"/>
      <c r="E33" s="15"/>
      <c r="F33" s="1"/>
      <c r="G33" s="1"/>
      <c r="H33" s="1"/>
      <c r="I33" s="1"/>
    </row>
    <row r="34" spans="1:9" ht="15.75" customHeight="1" x14ac:dyDescent="0.35">
      <c r="A34" s="1"/>
      <c r="B34" s="16"/>
      <c r="C34" s="17" t="s">
        <v>78</v>
      </c>
      <c r="D34" s="82">
        <f>D26+(D25*D27)</f>
        <v>0.10600000000000001</v>
      </c>
      <c r="E34" s="18"/>
      <c r="F34" s="1"/>
      <c r="G34" s="1"/>
      <c r="H34" s="1"/>
      <c r="I34" s="1"/>
    </row>
    <row r="35" spans="1:9" ht="15.75" customHeight="1" x14ac:dyDescent="0.2">
      <c r="A35" s="1"/>
      <c r="B35" s="16"/>
      <c r="C35" s="17" t="s">
        <v>103</v>
      </c>
      <c r="D35" s="82">
        <f>YIELD(D14,D15,D12,D13,100,D16)</f>
        <v>5.4504284629289967E-2</v>
      </c>
      <c r="E35" s="18"/>
      <c r="F35" s="1"/>
      <c r="G35" s="1"/>
      <c r="H35" s="1"/>
      <c r="I35" s="1"/>
    </row>
    <row r="36" spans="1:9" ht="15.75" customHeight="1" x14ac:dyDescent="0.2">
      <c r="A36" s="1"/>
      <c r="B36" s="16"/>
      <c r="C36" s="17" t="s">
        <v>104</v>
      </c>
      <c r="D36" s="82">
        <f>D35*(1-D28)</f>
        <v>4.1968299164553274E-2</v>
      </c>
      <c r="E36" s="18"/>
      <c r="F36" s="1"/>
      <c r="G36" s="1"/>
      <c r="H36" s="1"/>
      <c r="I36" s="1"/>
    </row>
    <row r="37" spans="1:9" ht="15.75" customHeight="1" x14ac:dyDescent="0.2">
      <c r="A37" s="1"/>
      <c r="B37" s="16"/>
      <c r="C37" s="17" t="s">
        <v>105</v>
      </c>
      <c r="D37" s="82">
        <f>YIELD(D21,D22,D19,D20,100,D23)</f>
        <v>6.1246942251261274E-2</v>
      </c>
      <c r="E37" s="18"/>
      <c r="F37" s="1"/>
      <c r="G37" s="1"/>
      <c r="H37" s="1"/>
      <c r="I37" s="1"/>
    </row>
    <row r="38" spans="1:9" ht="15.75" customHeight="1" x14ac:dyDescent="0.2">
      <c r="A38" s="1"/>
      <c r="B38" s="16"/>
      <c r="C38" s="17" t="s">
        <v>106</v>
      </c>
      <c r="D38" s="82">
        <f>D37*(1-D28)</f>
        <v>4.7160145533471184E-2</v>
      </c>
      <c r="E38" s="18"/>
      <c r="F38" s="1"/>
      <c r="G38" s="1"/>
      <c r="H38" s="1"/>
      <c r="I38" s="1"/>
    </row>
    <row r="39" spans="1:9" ht="15.75" customHeight="1" x14ac:dyDescent="0.2">
      <c r="A39" s="1"/>
      <c r="B39" s="16"/>
      <c r="C39" s="17" t="s">
        <v>24</v>
      </c>
      <c r="D39" s="96">
        <f>((D13/100)*D11)+((D20/100)*D18)</f>
        <v>160660000</v>
      </c>
      <c r="E39" s="18"/>
      <c r="F39" s="1"/>
      <c r="G39" s="1"/>
      <c r="H39" s="1"/>
      <c r="I39" s="1"/>
    </row>
    <row r="40" spans="1:9" ht="15.75" customHeight="1" x14ac:dyDescent="0.2">
      <c r="A40" s="1"/>
      <c r="B40" s="16"/>
      <c r="C40" s="17" t="s">
        <v>198</v>
      </c>
      <c r="D40" s="205">
        <f>(D13*D11)/D39/100</f>
        <v>0.5452508402838292</v>
      </c>
      <c r="E40" s="18"/>
      <c r="F40" s="1"/>
      <c r="G40" s="1"/>
      <c r="H40" s="1"/>
      <c r="I40" s="1"/>
    </row>
    <row r="41" spans="1:9" ht="15.75" customHeight="1" x14ac:dyDescent="0.2">
      <c r="A41" s="1"/>
      <c r="B41" s="16"/>
      <c r="C41" s="17" t="s">
        <v>199</v>
      </c>
      <c r="D41" s="205">
        <f>(D20*D18)/D39/100</f>
        <v>0.4547491597161708</v>
      </c>
      <c r="E41" s="18"/>
      <c r="F41" s="1"/>
      <c r="G41" s="1"/>
      <c r="H41" s="1"/>
      <c r="I41" s="1"/>
    </row>
    <row r="42" spans="1:9" ht="15.75" customHeight="1" x14ac:dyDescent="0.2">
      <c r="A42" s="1"/>
      <c r="B42" s="16"/>
      <c r="C42" s="17" t="s">
        <v>107</v>
      </c>
      <c r="D42" s="101"/>
      <c r="E42" s="18"/>
      <c r="F42" s="1"/>
      <c r="G42" s="1"/>
      <c r="H42" s="1"/>
      <c r="I42" s="1"/>
    </row>
    <row r="43" spans="1:9" ht="15.75" customHeight="1" x14ac:dyDescent="0.2">
      <c r="A43" s="1"/>
      <c r="B43" s="16"/>
      <c r="C43" s="17" t="s">
        <v>108</v>
      </c>
      <c r="D43" s="82">
        <f>((((D13/100)*D11)/D39)*D36)+((((D20/100)*D18)/D39)*D38)</f>
        <v>4.4329286938194143E-2</v>
      </c>
      <c r="E43" s="18"/>
      <c r="F43" s="1"/>
      <c r="G43" s="1"/>
      <c r="H43" s="1"/>
      <c r="I43" s="1"/>
    </row>
    <row r="44" spans="1:9" ht="15.75" customHeight="1" x14ac:dyDescent="0.25">
      <c r="A44" s="1"/>
      <c r="B44" s="16"/>
      <c r="C44" s="17"/>
      <c r="D44" s="28"/>
      <c r="E44" s="18"/>
      <c r="F44" s="1"/>
      <c r="G44" s="1"/>
      <c r="H44" s="1"/>
      <c r="I44" s="1"/>
    </row>
    <row r="45" spans="1:9" ht="15.75" customHeight="1" x14ac:dyDescent="0.25">
      <c r="A45" s="1"/>
      <c r="B45" s="16"/>
      <c r="C45" s="17" t="s">
        <v>29</v>
      </c>
      <c r="D45" s="22">
        <f>(D34*'#8'!D40)+(D43*'#8'!D41)</f>
        <v>9.1208824589451939E-2</v>
      </c>
      <c r="E45" s="18"/>
      <c r="F45" s="1"/>
      <c r="G45" s="1"/>
      <c r="H45" s="1"/>
      <c r="I45" s="1"/>
    </row>
    <row r="46" spans="1:9" ht="15.75" customHeight="1" thickBot="1" x14ac:dyDescent="0.25">
      <c r="A46" s="1"/>
      <c r="B46" s="19"/>
      <c r="C46" s="20"/>
      <c r="D46" s="20"/>
      <c r="E46" s="21"/>
      <c r="F46" s="1"/>
      <c r="G46" s="1"/>
      <c r="H46" s="1"/>
      <c r="I46" s="1"/>
    </row>
    <row r="47" spans="1:9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t="15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t="15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15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t="15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t="15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5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t="15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t="15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t="15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t="15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15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ht="15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ht="15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15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ht="15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ht="15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ht="15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15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15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ht="15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ht="15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ht="15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ht="15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ht="15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ht="15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ht="15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ht="15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ht="15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ht="15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ht="15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ht="15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ht="15" x14ac:dyDescent="0.2">
      <c r="A99" s="1"/>
      <c r="B99" s="1"/>
      <c r="C99" s="1"/>
      <c r="D99" s="1"/>
      <c r="E99" s="1"/>
      <c r="F99" s="1"/>
      <c r="G99" s="1"/>
      <c r="H99" s="1"/>
      <c r="I9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30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31</v>
      </c>
      <c r="D7" s="103">
        <v>0.38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29</v>
      </c>
      <c r="D8" s="94">
        <v>0.10100000000000001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14</v>
      </c>
      <c r="D9" s="78">
        <v>0.25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104" t="s">
        <v>84</v>
      </c>
      <c r="C10" s="11" t="s">
        <v>4</v>
      </c>
      <c r="D10" s="78">
        <v>0.12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104" t="s">
        <v>85</v>
      </c>
      <c r="C11" s="11" t="s">
        <v>16</v>
      </c>
      <c r="D11" s="81">
        <v>6.4000000000000001E-2</v>
      </c>
      <c r="E11" s="7"/>
      <c r="F11" s="1"/>
      <c r="G11" s="1"/>
      <c r="H11" s="1"/>
      <c r="I11" s="1"/>
      <c r="J11" s="1"/>
    </row>
    <row r="12" spans="1:10" ht="15.75" customHeight="1" thickBot="1" x14ac:dyDescent="0.25">
      <c r="A12" s="1"/>
      <c r="B12" s="8"/>
      <c r="C12" s="12"/>
      <c r="D12" s="9"/>
      <c r="E12" s="10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2" t="s">
        <v>2</v>
      </c>
      <c r="D14" s="1"/>
      <c r="E14" s="1"/>
      <c r="F14" s="1"/>
      <c r="G14" s="1"/>
      <c r="H14" s="1"/>
      <c r="I14" s="1"/>
      <c r="J14" s="1"/>
    </row>
    <row r="15" spans="1:10" ht="15.7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 x14ac:dyDescent="0.2">
      <c r="A16" s="1"/>
      <c r="B16" s="13"/>
      <c r="C16" s="14"/>
      <c r="D16" s="14"/>
      <c r="E16" s="15"/>
      <c r="F16" s="1"/>
      <c r="G16" s="1"/>
      <c r="H16" s="1"/>
      <c r="I16" s="1"/>
      <c r="J16" s="1"/>
    </row>
    <row r="17" spans="1:10" ht="15.75" customHeight="1" x14ac:dyDescent="0.35">
      <c r="A17" s="1"/>
      <c r="B17" s="86" t="s">
        <v>84</v>
      </c>
      <c r="C17" s="220" t="s">
        <v>212</v>
      </c>
      <c r="D17" s="22">
        <f>((D8)-((1/(1+D7))*D10))/((D7/(1+D7))*(1-D9))</f>
        <v>6.7999999999999977E-2</v>
      </c>
      <c r="E17" s="18"/>
      <c r="F17" s="1"/>
      <c r="G17" s="1"/>
      <c r="H17" s="1"/>
      <c r="I17" s="1"/>
      <c r="J17" s="1"/>
    </row>
    <row r="18" spans="1:10" ht="15.75" customHeight="1" x14ac:dyDescent="0.25">
      <c r="A18" s="1"/>
      <c r="B18" s="86"/>
      <c r="C18" s="17"/>
      <c r="D18" s="105"/>
      <c r="E18" s="18"/>
      <c r="F18" s="1"/>
      <c r="G18" s="1"/>
      <c r="H18" s="1"/>
      <c r="I18" s="1"/>
      <c r="J18" s="1"/>
    </row>
    <row r="19" spans="1:10" ht="15.75" customHeight="1" x14ac:dyDescent="0.35">
      <c r="A19" s="1"/>
      <c r="B19" s="86" t="s">
        <v>85</v>
      </c>
      <c r="C19" s="220" t="s">
        <v>213</v>
      </c>
      <c r="D19" s="22">
        <f>(D8-((D7/(1+D7))*D11))/(1/(1+D7))</f>
        <v>0.11506</v>
      </c>
      <c r="E19" s="18"/>
      <c r="F19" s="1"/>
      <c r="G19" s="1"/>
      <c r="H19" s="1"/>
      <c r="I19" s="1"/>
      <c r="J19" s="1"/>
    </row>
    <row r="20" spans="1:10" ht="15.75" customHeight="1" thickBot="1" x14ac:dyDescent="0.25">
      <c r="A20" s="1"/>
      <c r="B20" s="19"/>
      <c r="C20" s="20"/>
      <c r="D20" s="20"/>
      <c r="E20" s="2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8" max="8" width="9.5703125" bestFit="1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32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24" t="s">
        <v>27</v>
      </c>
      <c r="D7" s="106"/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109</v>
      </c>
      <c r="D8" s="85">
        <v>17000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40" t="s">
        <v>90</v>
      </c>
      <c r="D10" s="84">
        <v>43831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40" t="s">
        <v>91</v>
      </c>
      <c r="D11" s="94">
        <v>4.9000000000000002E-2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.75" customHeight="1" x14ac:dyDescent="0.2">
      <c r="A13" s="1"/>
      <c r="B13" s="6"/>
      <c r="C13" s="40" t="s">
        <v>93</v>
      </c>
      <c r="D13" s="85">
        <v>105</v>
      </c>
      <c r="E13" s="7"/>
      <c r="F13" s="1"/>
      <c r="G13" s="1"/>
      <c r="H13" s="1"/>
      <c r="I13" s="1"/>
      <c r="J13" s="1"/>
    </row>
    <row r="14" spans="1:10" ht="15.75" customHeight="1" x14ac:dyDescent="0.2">
      <c r="A14" s="1"/>
      <c r="B14" s="6"/>
      <c r="C14" s="40" t="s">
        <v>253</v>
      </c>
      <c r="D14" s="83">
        <v>2000</v>
      </c>
      <c r="E14" s="7"/>
      <c r="F14" s="1"/>
      <c r="G14" s="1"/>
      <c r="H14" s="1"/>
      <c r="I14" s="1"/>
      <c r="J14" s="1"/>
    </row>
    <row r="15" spans="1:10" ht="15.75" customHeight="1" x14ac:dyDescent="0.2">
      <c r="A15" s="1"/>
      <c r="B15" s="6"/>
      <c r="C15" s="11"/>
      <c r="D15" s="81"/>
      <c r="E15" s="7"/>
      <c r="F15" s="1"/>
      <c r="G15" s="1"/>
      <c r="H15" s="1"/>
      <c r="I15" s="1"/>
      <c r="J15" s="1"/>
    </row>
    <row r="16" spans="1:10" ht="15.75" customHeight="1" x14ac:dyDescent="0.2">
      <c r="A16" s="1"/>
      <c r="B16" s="6"/>
      <c r="C16" s="24" t="s">
        <v>110</v>
      </c>
      <c r="D16" s="106"/>
      <c r="E16" s="7"/>
      <c r="F16" s="1"/>
      <c r="G16" s="1"/>
      <c r="H16" s="1"/>
      <c r="I16" s="1"/>
      <c r="J16" s="1"/>
    </row>
    <row r="17" spans="1:10" ht="15.75" customHeight="1" x14ac:dyDescent="0.2">
      <c r="A17" s="1"/>
      <c r="B17" s="6"/>
      <c r="C17" s="11" t="s">
        <v>42</v>
      </c>
      <c r="D17" s="106">
        <v>425000</v>
      </c>
      <c r="E17" s="7"/>
      <c r="F17" s="1"/>
      <c r="G17" s="1"/>
      <c r="H17" s="1"/>
      <c r="I17" s="1"/>
      <c r="J17" s="1"/>
    </row>
    <row r="18" spans="1:10" ht="15.75" customHeight="1" x14ac:dyDescent="0.2">
      <c r="A18" s="1"/>
      <c r="B18" s="6"/>
      <c r="C18" s="11" t="s">
        <v>6</v>
      </c>
      <c r="D18" s="93">
        <v>0.88</v>
      </c>
      <c r="E18" s="7"/>
      <c r="F18" s="1"/>
      <c r="G18" s="1"/>
      <c r="H18" s="1"/>
      <c r="I18" s="1"/>
      <c r="J18" s="1"/>
    </row>
    <row r="19" spans="1:10" ht="15.75" customHeight="1" x14ac:dyDescent="0.2">
      <c r="A19" s="1"/>
      <c r="B19" s="6"/>
      <c r="C19" s="11" t="s">
        <v>43</v>
      </c>
      <c r="D19" s="83">
        <v>67</v>
      </c>
      <c r="E19" s="7"/>
      <c r="F19" s="1"/>
      <c r="G19" s="1"/>
      <c r="H19" s="1"/>
      <c r="I19" s="1"/>
      <c r="J19" s="1"/>
    </row>
    <row r="20" spans="1:10" ht="15.75" customHeight="1" x14ac:dyDescent="0.2">
      <c r="A20" s="1"/>
      <c r="B20" s="6"/>
      <c r="C20" s="11"/>
      <c r="D20" s="79"/>
      <c r="E20" s="7"/>
      <c r="F20" s="1"/>
      <c r="G20" s="1"/>
      <c r="H20" s="1"/>
      <c r="I20" s="1"/>
      <c r="J20" s="1"/>
    </row>
    <row r="21" spans="1:10" ht="15.75" customHeight="1" x14ac:dyDescent="0.2">
      <c r="A21" s="1"/>
      <c r="B21" s="6"/>
      <c r="C21" s="24" t="s">
        <v>111</v>
      </c>
      <c r="D21" s="78"/>
      <c r="E21" s="7"/>
      <c r="F21" s="1"/>
      <c r="G21" s="1"/>
      <c r="H21" s="1"/>
      <c r="I21" s="1"/>
      <c r="J21" s="1"/>
    </row>
    <row r="22" spans="1:10" ht="15.75" customHeight="1" x14ac:dyDescent="0.2">
      <c r="A22" s="1"/>
      <c r="B22" s="6"/>
      <c r="C22" s="11" t="s">
        <v>9</v>
      </c>
      <c r="D22" s="94">
        <v>7.0000000000000007E-2</v>
      </c>
      <c r="E22" s="7"/>
      <c r="F22" s="1"/>
      <c r="G22" s="1"/>
      <c r="H22" s="1"/>
      <c r="I22" s="1"/>
      <c r="J22" s="1"/>
    </row>
    <row r="23" spans="1:10" ht="15.75" customHeight="1" x14ac:dyDescent="0.2">
      <c r="A23" s="1"/>
      <c r="B23" s="6"/>
      <c r="C23" s="11" t="s">
        <v>7</v>
      </c>
      <c r="D23" s="94">
        <v>3.5000000000000003E-2</v>
      </c>
      <c r="E23" s="7"/>
      <c r="F23" s="1"/>
      <c r="G23" s="1"/>
      <c r="H23" s="1"/>
      <c r="I23" s="1"/>
      <c r="J23" s="1"/>
    </row>
    <row r="24" spans="1:10" ht="15.75" customHeight="1" x14ac:dyDescent="0.2">
      <c r="A24" s="1"/>
      <c r="B24" s="6"/>
      <c r="C24" s="11" t="s">
        <v>14</v>
      </c>
      <c r="D24" s="78">
        <v>0.21</v>
      </c>
      <c r="E24" s="7"/>
      <c r="F24" s="1"/>
      <c r="G24" s="1"/>
      <c r="H24" s="1"/>
      <c r="I24" s="1"/>
      <c r="J24" s="1"/>
    </row>
    <row r="25" spans="1:10" ht="15.75" customHeight="1" thickBot="1" x14ac:dyDescent="0.25">
      <c r="A25" s="1"/>
      <c r="B25" s="8"/>
      <c r="C25" s="12"/>
      <c r="D25" s="9"/>
      <c r="E25" s="10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2" t="s">
        <v>2</v>
      </c>
      <c r="D27" s="247"/>
      <c r="E27" s="1"/>
      <c r="F27" s="1"/>
      <c r="G27" s="1"/>
      <c r="H27" s="1"/>
      <c r="I27" s="1"/>
      <c r="J27" s="1"/>
    </row>
    <row r="28" spans="1:10" ht="15.75" customHeight="1" thickBo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3"/>
      <c r="C29" s="14"/>
      <c r="D29" s="14"/>
      <c r="E29" s="15"/>
      <c r="F29" s="1"/>
      <c r="G29" s="1"/>
      <c r="H29" s="1"/>
      <c r="I29" s="1"/>
      <c r="J29" s="1"/>
    </row>
    <row r="30" spans="1:10" ht="15.75" customHeight="1" x14ac:dyDescent="0.2">
      <c r="A30" s="1"/>
      <c r="B30" s="16"/>
      <c r="C30" s="17" t="s">
        <v>24</v>
      </c>
      <c r="D30" s="96">
        <f>D8*D14*(D13/100)</f>
        <v>35700000</v>
      </c>
      <c r="E30" s="18"/>
      <c r="F30" s="1"/>
      <c r="G30" s="1"/>
      <c r="H30" s="1"/>
      <c r="I30" s="1"/>
      <c r="J30" s="1"/>
    </row>
    <row r="31" spans="1:10" ht="15.75" customHeight="1" x14ac:dyDescent="0.2">
      <c r="A31" s="1"/>
      <c r="B31" s="16"/>
      <c r="C31" s="17" t="s">
        <v>112</v>
      </c>
      <c r="D31" s="96">
        <f>D17*D19</f>
        <v>28475000</v>
      </c>
      <c r="E31" s="18"/>
      <c r="F31" s="1"/>
      <c r="G31" s="1"/>
      <c r="H31" s="1"/>
      <c r="I31" s="1"/>
      <c r="J31" s="1"/>
    </row>
    <row r="32" spans="1:10" ht="15.75" customHeight="1" x14ac:dyDescent="0.2">
      <c r="A32" s="1"/>
      <c r="B32" s="16"/>
      <c r="C32" s="17" t="s">
        <v>114</v>
      </c>
      <c r="D32" s="96">
        <f>SUM(D30:D31)</f>
        <v>64175000</v>
      </c>
      <c r="E32" s="18"/>
      <c r="F32" s="1"/>
      <c r="G32" s="1"/>
      <c r="H32" s="1"/>
      <c r="I32" s="1"/>
      <c r="J32" s="1"/>
    </row>
    <row r="33" spans="1:10" ht="15.75" customHeight="1" x14ac:dyDescent="0.2">
      <c r="A33" s="1"/>
      <c r="B33" s="16"/>
      <c r="C33" s="17"/>
      <c r="D33" s="96"/>
      <c r="E33" s="18"/>
      <c r="F33" s="1"/>
      <c r="G33" s="1"/>
      <c r="H33" s="1"/>
      <c r="I33" s="1"/>
      <c r="J33" s="1"/>
    </row>
    <row r="34" spans="1:10" ht="15.75" customHeight="1" x14ac:dyDescent="0.2">
      <c r="A34" s="1"/>
      <c r="B34" s="16"/>
      <c r="C34" s="17" t="s">
        <v>17</v>
      </c>
      <c r="D34" s="82">
        <f>YIELD(D9,D10,D11,D13,100,D12)</f>
        <v>4.5176470336010535E-2</v>
      </c>
      <c r="E34" s="18"/>
      <c r="F34" s="1"/>
      <c r="G34" s="1"/>
      <c r="H34" s="246"/>
      <c r="I34" s="1"/>
      <c r="J34" s="1"/>
    </row>
    <row r="35" spans="1:10" ht="15.75" customHeight="1" x14ac:dyDescent="0.2">
      <c r="A35" s="1"/>
      <c r="B35" s="16"/>
      <c r="C35" s="17" t="s">
        <v>16</v>
      </c>
      <c r="D35" s="82">
        <f>D34*(1-D24)</f>
        <v>3.5689411565448324E-2</v>
      </c>
      <c r="E35" s="18"/>
      <c r="F35" s="1"/>
      <c r="G35" s="1"/>
      <c r="H35" s="1"/>
      <c r="I35" s="1"/>
      <c r="J35" s="1"/>
    </row>
    <row r="36" spans="1:10" ht="15.75" customHeight="1" x14ac:dyDescent="0.2">
      <c r="A36" s="1"/>
      <c r="B36" s="16"/>
      <c r="C36" s="17"/>
      <c r="D36" s="91"/>
      <c r="E36" s="18"/>
      <c r="F36" s="1"/>
      <c r="G36" s="1"/>
      <c r="H36" s="1"/>
      <c r="I36" s="1"/>
      <c r="J36" s="1"/>
    </row>
    <row r="37" spans="1:10" ht="15.75" customHeight="1" x14ac:dyDescent="0.2">
      <c r="A37" s="1"/>
      <c r="B37" s="16"/>
      <c r="C37" s="17" t="s">
        <v>4</v>
      </c>
      <c r="D37" s="82">
        <f>D23+(D18*D22)</f>
        <v>9.6600000000000019E-2</v>
      </c>
      <c r="E37" s="18"/>
      <c r="F37" s="1"/>
      <c r="G37" s="1"/>
      <c r="H37" s="1"/>
      <c r="I37" s="1"/>
      <c r="J37" s="1"/>
    </row>
    <row r="38" spans="1:10" ht="15.75" customHeight="1" x14ac:dyDescent="0.2">
      <c r="A38" s="1"/>
      <c r="B38" s="16"/>
      <c r="C38" s="17"/>
      <c r="D38" s="31"/>
      <c r="E38" s="18"/>
      <c r="F38" s="1"/>
      <c r="G38" s="1"/>
      <c r="H38" s="1"/>
      <c r="I38" s="1"/>
      <c r="J38" s="1"/>
    </row>
    <row r="39" spans="1:10" ht="15.75" customHeight="1" x14ac:dyDescent="0.25">
      <c r="A39" s="1"/>
      <c r="B39" s="16"/>
      <c r="C39" s="17" t="s">
        <v>29</v>
      </c>
      <c r="D39" s="22">
        <f>((D30/D32)*D35)+((D31/D32)*D37)</f>
        <v>6.2715964049653378E-2</v>
      </c>
      <c r="E39" s="18"/>
      <c r="F39" s="1"/>
      <c r="G39" s="1"/>
      <c r="H39" s="1"/>
      <c r="I39" s="1"/>
      <c r="J39" s="1"/>
    </row>
    <row r="40" spans="1:10" ht="15.75" customHeight="1" thickBot="1" x14ac:dyDescent="0.25">
      <c r="A40" s="1"/>
      <c r="B40" s="19"/>
      <c r="C40" s="20"/>
      <c r="D40" s="33"/>
      <c r="E40" s="2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"/>
    <row r="95" spans="1:10" ht="15.75" customHeight="1" x14ac:dyDescent="0.2"/>
    <row r="96" spans="1:10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7" max="7" width="9.5703125" bestFit="1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41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24" t="s">
        <v>27</v>
      </c>
      <c r="D7" s="106"/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109</v>
      </c>
      <c r="D8" s="85">
        <v>175000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40" t="s">
        <v>90</v>
      </c>
      <c r="D10" s="84">
        <v>45658</v>
      </c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40" t="s">
        <v>91</v>
      </c>
      <c r="D11" s="94">
        <v>6.2E-2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85">
        <v>106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40" t="s">
        <v>253</v>
      </c>
      <c r="D14" s="83">
        <v>1000</v>
      </c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11"/>
      <c r="D15" s="81"/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24" t="s">
        <v>110</v>
      </c>
      <c r="D16" s="106"/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11" t="s">
        <v>42</v>
      </c>
      <c r="D17" s="106">
        <v>6400000</v>
      </c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11" t="s">
        <v>6</v>
      </c>
      <c r="D18" s="93">
        <v>1.1499999999999999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11" t="s">
        <v>43</v>
      </c>
      <c r="D19" s="83">
        <v>53</v>
      </c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11"/>
      <c r="D20" s="79"/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24" t="s">
        <v>111</v>
      </c>
      <c r="D21" s="78"/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11" t="s">
        <v>9</v>
      </c>
      <c r="D22" s="94">
        <v>6.8000000000000005E-2</v>
      </c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11" t="s">
        <v>7</v>
      </c>
      <c r="D23" s="94">
        <v>3.1E-2</v>
      </c>
      <c r="E23" s="7"/>
      <c r="F23" s="1"/>
      <c r="G23" s="1"/>
      <c r="H23" s="1"/>
      <c r="I23" s="1"/>
      <c r="J23" s="1"/>
    </row>
    <row r="24" spans="1:10" ht="15" x14ac:dyDescent="0.2">
      <c r="A24" s="1"/>
      <c r="B24" s="6"/>
      <c r="C24" s="11" t="s">
        <v>14</v>
      </c>
      <c r="D24" s="78">
        <v>0.22</v>
      </c>
      <c r="E24" s="7"/>
      <c r="F24" s="1"/>
      <c r="G24" s="1"/>
      <c r="H24" s="1"/>
      <c r="I24" s="1"/>
      <c r="J24" s="1"/>
    </row>
    <row r="25" spans="1:10" ht="15" customHeight="1" thickBot="1" x14ac:dyDescent="0.25">
      <c r="A25" s="1"/>
      <c r="B25" s="8"/>
      <c r="C25" s="12"/>
      <c r="D25" s="9"/>
      <c r="E25" s="10"/>
      <c r="F25" s="1"/>
      <c r="G25" s="1"/>
      <c r="H25" s="1"/>
      <c r="I25" s="1"/>
      <c r="J25" s="1"/>
    </row>
    <row r="26" spans="1:10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 x14ac:dyDescent="0.2">
      <c r="A27" s="1"/>
      <c r="B27" s="1"/>
      <c r="C27" s="2" t="s">
        <v>2</v>
      </c>
      <c r="D27" s="1"/>
      <c r="E27" s="1"/>
      <c r="F27" s="1"/>
      <c r="G27" s="1"/>
      <c r="H27" s="1"/>
      <c r="I27" s="1"/>
      <c r="J27" s="1"/>
    </row>
    <row r="28" spans="1:10" ht="15.75" thickBo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 x14ac:dyDescent="0.2">
      <c r="A29" s="1"/>
      <c r="B29" s="13"/>
      <c r="C29" s="14"/>
      <c r="D29" s="14"/>
      <c r="E29" s="15"/>
      <c r="F29" s="1"/>
      <c r="G29" s="1"/>
      <c r="H29" s="1"/>
      <c r="I29" s="1"/>
      <c r="J29" s="1"/>
    </row>
    <row r="30" spans="1:10" ht="15" x14ac:dyDescent="0.2">
      <c r="A30" s="1"/>
      <c r="B30" s="86" t="s">
        <v>84</v>
      </c>
      <c r="C30" s="17" t="s">
        <v>24</v>
      </c>
      <c r="D30" s="96">
        <f>D8*D14*(D13/100)</f>
        <v>185500000</v>
      </c>
      <c r="E30" s="18"/>
      <c r="F30" s="1"/>
      <c r="G30" s="1"/>
      <c r="H30" s="1"/>
      <c r="I30" s="1"/>
      <c r="J30" s="1"/>
    </row>
    <row r="31" spans="1:10" ht="15" x14ac:dyDescent="0.2">
      <c r="A31" s="1"/>
      <c r="B31" s="16"/>
      <c r="C31" s="17" t="s">
        <v>112</v>
      </c>
      <c r="D31" s="96">
        <f>D17*D19</f>
        <v>339200000</v>
      </c>
      <c r="E31" s="18"/>
      <c r="F31" s="1"/>
      <c r="G31" s="1"/>
      <c r="H31" s="1"/>
      <c r="I31" s="1"/>
      <c r="J31" s="1"/>
    </row>
    <row r="32" spans="1:10" ht="15" x14ac:dyDescent="0.2">
      <c r="A32" s="1"/>
      <c r="B32" s="16"/>
      <c r="C32" s="17" t="s">
        <v>114</v>
      </c>
      <c r="D32" s="96">
        <f>SUM(D30:D31)</f>
        <v>524700000</v>
      </c>
      <c r="E32" s="18"/>
      <c r="F32" s="1"/>
      <c r="G32" s="1"/>
      <c r="H32" s="1"/>
      <c r="I32" s="1"/>
      <c r="J32" s="1"/>
    </row>
    <row r="33" spans="1:10" ht="15" x14ac:dyDescent="0.2">
      <c r="A33" s="1"/>
      <c r="B33" s="16"/>
      <c r="C33" s="17"/>
      <c r="D33" s="96"/>
      <c r="E33" s="18"/>
      <c r="F33" s="1"/>
      <c r="G33" s="1"/>
      <c r="H33" s="1"/>
      <c r="I33" s="1"/>
      <c r="J33" s="1"/>
    </row>
    <row r="34" spans="1:10" ht="15.75" x14ac:dyDescent="0.25">
      <c r="A34" s="1"/>
      <c r="B34" s="16"/>
      <c r="C34" s="220" t="s">
        <v>143</v>
      </c>
      <c r="D34" s="95">
        <f>D30/D32</f>
        <v>0.35353535353535354</v>
      </c>
      <c r="E34" s="18"/>
      <c r="F34" s="1"/>
      <c r="G34" s="1"/>
      <c r="H34" s="1"/>
      <c r="I34" s="1"/>
      <c r="J34" s="1"/>
    </row>
    <row r="35" spans="1:10" ht="15.75" x14ac:dyDescent="0.25">
      <c r="A35" s="1"/>
      <c r="B35" s="16"/>
      <c r="C35" s="220" t="s">
        <v>142</v>
      </c>
      <c r="D35" s="95">
        <f>D31/D32</f>
        <v>0.64646464646464652</v>
      </c>
      <c r="E35" s="18"/>
      <c r="F35" s="1"/>
      <c r="G35" s="1"/>
      <c r="H35" s="1"/>
      <c r="I35" s="1"/>
      <c r="J35" s="1"/>
    </row>
    <row r="36" spans="1:10" ht="15" x14ac:dyDescent="0.2">
      <c r="A36" s="1"/>
      <c r="B36" s="16"/>
      <c r="C36" s="17"/>
      <c r="D36" s="96"/>
      <c r="E36" s="18"/>
      <c r="F36" s="1"/>
      <c r="G36" s="1"/>
      <c r="H36" s="1"/>
      <c r="I36" s="1"/>
      <c r="J36" s="1"/>
    </row>
    <row r="37" spans="1:10" ht="15" x14ac:dyDescent="0.2">
      <c r="A37" s="1"/>
      <c r="B37" s="86" t="s">
        <v>85</v>
      </c>
      <c r="C37" s="17" t="s">
        <v>46</v>
      </c>
      <c r="D37" s="32"/>
      <c r="E37" s="18"/>
      <c r="F37" s="1"/>
      <c r="G37" s="1"/>
      <c r="H37" s="1"/>
      <c r="I37" s="1"/>
      <c r="J37" s="1"/>
    </row>
    <row r="38" spans="1:10" ht="15" x14ac:dyDescent="0.2">
      <c r="A38" s="1"/>
      <c r="B38" s="16"/>
      <c r="C38" s="17" t="s">
        <v>47</v>
      </c>
      <c r="D38" s="32"/>
      <c r="E38" s="18"/>
      <c r="F38" s="1"/>
      <c r="G38" s="1"/>
      <c r="H38" s="1"/>
      <c r="I38" s="1"/>
      <c r="J38" s="1"/>
    </row>
    <row r="39" spans="1:10" ht="15" x14ac:dyDescent="0.2">
      <c r="A39" s="1"/>
      <c r="B39" s="16"/>
      <c r="C39" s="17"/>
      <c r="D39" s="25"/>
      <c r="E39" s="18"/>
      <c r="F39" s="1"/>
      <c r="G39" s="1"/>
      <c r="H39" s="1"/>
      <c r="I39" s="1"/>
      <c r="J39" s="1"/>
    </row>
    <row r="40" spans="1:10" ht="15" x14ac:dyDescent="0.2">
      <c r="A40" s="1"/>
      <c r="B40" s="86"/>
      <c r="C40" s="17" t="s">
        <v>17</v>
      </c>
      <c r="D40" s="82">
        <f>YIELD(D9,D10,D11,D13,100,D12)</f>
        <v>5.7448485298247545E-2</v>
      </c>
      <c r="E40" s="18"/>
      <c r="F40" s="1"/>
      <c r="G40" s="246"/>
      <c r="H40" s="1"/>
      <c r="I40" s="1"/>
      <c r="J40" s="1"/>
    </row>
    <row r="41" spans="1:10" ht="15" x14ac:dyDescent="0.2">
      <c r="A41" s="1"/>
      <c r="B41" s="16"/>
      <c r="C41" s="17" t="s">
        <v>16</v>
      </c>
      <c r="D41" s="82">
        <f>D40*(1-D24)</f>
        <v>4.4809818532633085E-2</v>
      </c>
      <c r="E41" s="18"/>
      <c r="F41" s="1"/>
      <c r="G41" s="1"/>
      <c r="H41" s="1"/>
      <c r="I41" s="1"/>
      <c r="J41" s="1"/>
    </row>
    <row r="42" spans="1:10" ht="15" x14ac:dyDescent="0.2">
      <c r="A42" s="1"/>
      <c r="B42" s="16"/>
      <c r="C42" s="17"/>
      <c r="D42" s="91"/>
      <c r="E42" s="18"/>
      <c r="F42" s="1"/>
      <c r="G42" s="1"/>
      <c r="H42" s="1"/>
      <c r="I42" s="1"/>
      <c r="J42" s="1"/>
    </row>
    <row r="43" spans="1:10" ht="15" x14ac:dyDescent="0.2">
      <c r="A43" s="1"/>
      <c r="B43" s="16"/>
      <c r="C43" s="17" t="s">
        <v>4</v>
      </c>
      <c r="D43" s="82">
        <f>D23+(D18*D22)</f>
        <v>0.10920000000000001</v>
      </c>
      <c r="E43" s="18"/>
      <c r="F43" s="1"/>
      <c r="G43" s="1"/>
      <c r="H43" s="1"/>
      <c r="I43" s="1"/>
      <c r="J43" s="1"/>
    </row>
    <row r="44" spans="1:10" ht="15" x14ac:dyDescent="0.2">
      <c r="A44" s="1"/>
      <c r="B44" s="16"/>
      <c r="C44" s="17"/>
      <c r="D44" s="31"/>
      <c r="E44" s="18"/>
      <c r="F44" s="1"/>
      <c r="G44" s="1"/>
      <c r="H44" s="1"/>
      <c r="I44" s="1"/>
      <c r="J44" s="1"/>
    </row>
    <row r="45" spans="1:10" ht="15.75" x14ac:dyDescent="0.25">
      <c r="A45" s="1"/>
      <c r="B45" s="16"/>
      <c r="C45" s="17" t="s">
        <v>29</v>
      </c>
      <c r="D45" s="22">
        <f>((D30/D32)*D41)+((D31/D32)*D43)</f>
        <v>8.6435794430728879E-2</v>
      </c>
      <c r="E45" s="18"/>
      <c r="F45" s="1"/>
      <c r="G45" s="1"/>
      <c r="H45" s="1"/>
      <c r="I45" s="1"/>
      <c r="J45" s="1"/>
    </row>
    <row r="46" spans="1:10" ht="15.75" thickBot="1" x14ac:dyDescent="0.25">
      <c r="A46" s="1"/>
      <c r="B46" s="19"/>
      <c r="C46" s="20"/>
      <c r="D46" s="33"/>
      <c r="E46" s="2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24.140625" bestFit="1" customWidth="1"/>
    <col min="5" max="5" width="18.140625" customWidth="1"/>
    <col min="6" max="6" width="3.140625" customWidth="1"/>
  </cols>
  <sheetData>
    <row r="1" spans="1:9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</row>
    <row r="2" spans="1:9" ht="15" x14ac:dyDescent="0.2">
      <c r="A2" s="1"/>
      <c r="B2" s="1"/>
      <c r="C2" s="1" t="s">
        <v>40</v>
      </c>
      <c r="D2" s="1"/>
      <c r="E2" s="1"/>
      <c r="F2" s="1"/>
      <c r="G2" s="1"/>
      <c r="H2" s="1"/>
      <c r="I2" s="1"/>
    </row>
    <row r="3" spans="1:9" ht="1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</row>
    <row r="5" spans="1:9" ht="15.75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x14ac:dyDescent="0.2">
      <c r="A6" s="1"/>
      <c r="B6" s="3"/>
      <c r="C6" s="4"/>
      <c r="D6" s="4"/>
      <c r="E6" s="41"/>
      <c r="F6" s="38"/>
      <c r="G6" s="1"/>
      <c r="H6" s="1"/>
      <c r="I6" s="1"/>
    </row>
    <row r="7" spans="1:9" ht="15" x14ac:dyDescent="0.2">
      <c r="A7" s="1"/>
      <c r="B7" s="6"/>
      <c r="C7" s="111" t="s">
        <v>50</v>
      </c>
      <c r="D7" s="112" t="s">
        <v>6</v>
      </c>
      <c r="E7" s="111" t="s">
        <v>71</v>
      </c>
      <c r="F7" s="39"/>
      <c r="G7" s="1"/>
      <c r="H7" s="1"/>
      <c r="I7" s="1"/>
    </row>
    <row r="8" spans="1:9" ht="15" x14ac:dyDescent="0.2">
      <c r="A8" s="1"/>
      <c r="B8" s="6"/>
      <c r="C8" s="46" t="s">
        <v>51</v>
      </c>
      <c r="D8" s="113">
        <v>0.75</v>
      </c>
      <c r="E8" s="206">
        <v>9.4E-2</v>
      </c>
      <c r="F8" s="39"/>
      <c r="G8" s="1"/>
      <c r="H8" s="1"/>
      <c r="I8" s="1"/>
    </row>
    <row r="9" spans="1:9" ht="15" x14ac:dyDescent="0.2">
      <c r="A9" s="1"/>
      <c r="B9" s="6"/>
      <c r="C9" s="46" t="s">
        <v>52</v>
      </c>
      <c r="D9" s="113">
        <v>0.9</v>
      </c>
      <c r="E9" s="206">
        <v>0.112</v>
      </c>
      <c r="F9" s="39"/>
      <c r="G9" s="1"/>
      <c r="H9" s="1"/>
      <c r="I9" s="1"/>
    </row>
    <row r="10" spans="1:9" ht="15" x14ac:dyDescent="0.2">
      <c r="A10" s="1"/>
      <c r="B10" s="6"/>
      <c r="C10" s="46" t="s">
        <v>53</v>
      </c>
      <c r="D10" s="113">
        <v>1.1499999999999999</v>
      </c>
      <c r="E10" s="206">
        <v>0.14099999999999999</v>
      </c>
      <c r="F10" s="42"/>
      <c r="H10" s="1"/>
      <c r="I10" s="1"/>
    </row>
    <row r="11" spans="1:9" ht="15" x14ac:dyDescent="0.2">
      <c r="A11" s="1"/>
      <c r="B11" s="6"/>
      <c r="C11" s="46" t="s">
        <v>54</v>
      </c>
      <c r="D11" s="113">
        <v>1.45</v>
      </c>
      <c r="E11" s="206">
        <v>0.155</v>
      </c>
      <c r="F11" s="42"/>
      <c r="H11" s="1"/>
      <c r="I11" s="1"/>
    </row>
    <row r="12" spans="1:9" ht="15" x14ac:dyDescent="0.2">
      <c r="A12" s="1"/>
      <c r="B12" s="6"/>
      <c r="C12" s="11"/>
      <c r="D12" s="114"/>
      <c r="E12" s="115"/>
      <c r="F12" s="43"/>
      <c r="G12" s="35"/>
      <c r="H12" s="1"/>
      <c r="I12" s="1"/>
    </row>
    <row r="13" spans="1:9" ht="15" x14ac:dyDescent="0.2">
      <c r="A13" s="1"/>
      <c r="B13" s="6"/>
      <c r="C13" s="11" t="s">
        <v>48</v>
      </c>
      <c r="D13" s="78">
        <v>0.12</v>
      </c>
      <c r="E13" s="115"/>
      <c r="F13" s="43"/>
      <c r="G13" s="35"/>
      <c r="H13" s="1"/>
      <c r="I13" s="1"/>
    </row>
    <row r="14" spans="1:9" ht="15" x14ac:dyDescent="0.2">
      <c r="A14" s="1"/>
      <c r="B14" s="6"/>
      <c r="C14" s="11" t="s">
        <v>49</v>
      </c>
      <c r="D14" s="78">
        <v>0.12</v>
      </c>
      <c r="E14" s="115"/>
      <c r="F14" s="43"/>
      <c r="G14" s="35"/>
      <c r="H14" s="1"/>
      <c r="I14" s="1"/>
    </row>
    <row r="15" spans="1:9" ht="15" x14ac:dyDescent="0.2">
      <c r="A15" s="1"/>
      <c r="B15" s="6"/>
      <c r="C15" s="11" t="s">
        <v>10</v>
      </c>
      <c r="D15" s="81">
        <v>3.5000000000000003E-2</v>
      </c>
      <c r="E15" s="115"/>
      <c r="F15" s="43"/>
      <c r="G15" s="35"/>
      <c r="H15" s="1"/>
      <c r="I15" s="1"/>
    </row>
    <row r="16" spans="1:9" ht="15.75" thickBot="1" x14ac:dyDescent="0.25">
      <c r="A16" s="1"/>
      <c r="B16" s="8"/>
      <c r="C16" s="12"/>
      <c r="D16" s="36"/>
      <c r="E16" s="44"/>
      <c r="F16" s="45"/>
      <c r="G16" s="35"/>
      <c r="H16" s="1"/>
      <c r="I16" s="1"/>
    </row>
    <row r="17" spans="1:9" ht="15" x14ac:dyDescent="0.2">
      <c r="A17" s="1"/>
      <c r="B17" s="1"/>
      <c r="E17" s="1"/>
      <c r="F17" s="1"/>
      <c r="G17" s="1"/>
      <c r="H17" s="1"/>
      <c r="I17" s="1"/>
    </row>
    <row r="18" spans="1:9" ht="15" x14ac:dyDescent="0.2">
      <c r="A18" s="1"/>
      <c r="B18" s="1"/>
      <c r="C18" s="2" t="s">
        <v>2</v>
      </c>
      <c r="D18" s="1"/>
      <c r="E18" s="1"/>
      <c r="F18" s="1"/>
      <c r="G18" s="1"/>
      <c r="H18" s="1"/>
      <c r="I18" s="1"/>
    </row>
    <row r="19" spans="1:9" ht="15.75" thickBo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5" x14ac:dyDescent="0.2">
      <c r="A20" s="1"/>
      <c r="B20" s="13"/>
      <c r="C20" s="14"/>
      <c r="D20" s="14"/>
      <c r="E20" s="59"/>
      <c r="F20" s="60"/>
      <c r="G20" s="1"/>
      <c r="H20" s="1"/>
      <c r="I20" s="1"/>
    </row>
    <row r="21" spans="1:9" ht="15" x14ac:dyDescent="0.2">
      <c r="A21" s="1"/>
      <c r="B21" s="86" t="s">
        <v>84</v>
      </c>
      <c r="C21" s="116" t="s">
        <v>50</v>
      </c>
      <c r="D21" s="117"/>
      <c r="E21" s="58"/>
      <c r="F21" s="61"/>
      <c r="G21" s="1"/>
      <c r="H21" s="1"/>
      <c r="I21" s="1"/>
    </row>
    <row r="22" spans="1:9" ht="15.75" x14ac:dyDescent="0.25">
      <c r="A22" s="1"/>
      <c r="B22" s="16"/>
      <c r="C22" s="118" t="s">
        <v>51</v>
      </c>
      <c r="D22" s="119" t="str">
        <f>IF(E8&gt;$D$13, "Higher","Lower")</f>
        <v>Lower</v>
      </c>
      <c r="E22" s="58"/>
      <c r="F22" s="61"/>
      <c r="G22" s="1"/>
      <c r="H22" s="1"/>
      <c r="I22" s="1"/>
    </row>
    <row r="23" spans="1:9" ht="15.75" x14ac:dyDescent="0.25">
      <c r="A23" s="1"/>
      <c r="B23" s="16"/>
      <c r="C23" s="118" t="s">
        <v>52</v>
      </c>
      <c r="D23" s="119" t="str">
        <f>IF(E9&gt;$D$13, "Higher","Lower")</f>
        <v>Lower</v>
      </c>
      <c r="E23" s="58"/>
      <c r="F23" s="61"/>
      <c r="G23" s="1"/>
      <c r="H23" s="1"/>
      <c r="I23" s="1"/>
    </row>
    <row r="24" spans="1:9" ht="15.75" x14ac:dyDescent="0.25">
      <c r="A24" s="1"/>
      <c r="B24" s="16"/>
      <c r="C24" s="118" t="s">
        <v>53</v>
      </c>
      <c r="D24" s="119" t="str">
        <f>IF(E10&gt;$D$13, "Higher","Lower")</f>
        <v>Higher</v>
      </c>
      <c r="E24" s="58"/>
      <c r="F24" s="61"/>
      <c r="G24" s="1"/>
      <c r="H24" s="1"/>
      <c r="I24" s="1"/>
    </row>
    <row r="25" spans="1:9" ht="15.75" x14ac:dyDescent="0.25">
      <c r="A25" s="1"/>
      <c r="B25" s="16"/>
      <c r="C25" s="118" t="s">
        <v>54</v>
      </c>
      <c r="D25" s="119" t="str">
        <f>IF(E11&gt;$D$13, "Higher","Lower")</f>
        <v>Higher</v>
      </c>
      <c r="E25" s="58"/>
      <c r="F25" s="61"/>
      <c r="G25" s="1"/>
      <c r="H25" s="1"/>
      <c r="I25" s="1"/>
    </row>
    <row r="26" spans="1:9" ht="15" x14ac:dyDescent="0.2">
      <c r="A26" s="1"/>
      <c r="B26" s="16"/>
      <c r="C26" s="17"/>
      <c r="D26" s="30"/>
      <c r="E26" s="58"/>
      <c r="F26" s="61"/>
      <c r="G26" s="1"/>
      <c r="H26" s="1"/>
      <c r="I26" s="1"/>
    </row>
    <row r="27" spans="1:9" ht="15" x14ac:dyDescent="0.2">
      <c r="A27" s="1"/>
      <c r="B27" s="86" t="s">
        <v>85</v>
      </c>
      <c r="C27" s="116" t="s">
        <v>50</v>
      </c>
      <c r="D27" s="120" t="s">
        <v>116</v>
      </c>
      <c r="E27" s="121" t="s">
        <v>117</v>
      </c>
      <c r="F27" s="61"/>
      <c r="G27" s="1"/>
      <c r="H27" s="1"/>
      <c r="I27" s="1"/>
    </row>
    <row r="28" spans="1:9" ht="15.75" x14ac:dyDescent="0.25">
      <c r="A28" s="1"/>
      <c r="B28" s="16"/>
      <c r="C28" s="118" t="s">
        <v>51</v>
      </c>
      <c r="D28" s="92">
        <f>$D$15+(D8*($D$14-$D$15))</f>
        <v>9.8750000000000004E-2</v>
      </c>
      <c r="E28" s="122" t="str">
        <f>IF(E8&gt;D28, "Accept","Reject")</f>
        <v>Reject</v>
      </c>
      <c r="F28" s="61"/>
      <c r="G28" s="1"/>
      <c r="H28" s="1"/>
      <c r="I28" s="1"/>
    </row>
    <row r="29" spans="1:9" ht="15.75" x14ac:dyDescent="0.25">
      <c r="A29" s="1"/>
      <c r="B29" s="16"/>
      <c r="C29" s="118" t="s">
        <v>52</v>
      </c>
      <c r="D29" s="92">
        <f>$D$15+(D9*($D$14-$D$15))</f>
        <v>0.1115</v>
      </c>
      <c r="E29" s="122" t="str">
        <f>IF(E9&gt;D29, "Accept","Reject")</f>
        <v>Accept</v>
      </c>
      <c r="F29" s="61"/>
      <c r="G29" s="1"/>
      <c r="H29" s="1"/>
      <c r="I29" s="1"/>
    </row>
    <row r="30" spans="1:9" ht="15.75" x14ac:dyDescent="0.25">
      <c r="A30" s="1"/>
      <c r="B30" s="16"/>
      <c r="C30" s="118" t="s">
        <v>53</v>
      </c>
      <c r="D30" s="92">
        <f>$D$15+(D10*($D$14-$D$15))</f>
        <v>0.13274999999999998</v>
      </c>
      <c r="E30" s="122" t="str">
        <f>IF(E10&gt;D30, "Accept","Reject")</f>
        <v>Accept</v>
      </c>
      <c r="F30" s="61"/>
      <c r="G30" s="1"/>
      <c r="H30" s="1"/>
      <c r="I30" s="1"/>
    </row>
    <row r="31" spans="1:9" ht="15.75" x14ac:dyDescent="0.25">
      <c r="A31" s="1"/>
      <c r="B31" s="16"/>
      <c r="C31" s="118" t="s">
        <v>54</v>
      </c>
      <c r="D31" s="92">
        <f>$D$15+(D11*($D$14-$D$15))</f>
        <v>0.15825</v>
      </c>
      <c r="E31" s="122" t="str">
        <f>IF(E11&gt;D31, "Accept","Reject")</f>
        <v>Reject</v>
      </c>
      <c r="F31" s="61"/>
      <c r="G31" s="1"/>
      <c r="H31" s="1"/>
      <c r="I31" s="1"/>
    </row>
    <row r="32" spans="1:9" ht="15" x14ac:dyDescent="0.2">
      <c r="A32" s="1"/>
      <c r="B32" s="16"/>
      <c r="C32" s="17"/>
      <c r="D32" s="23"/>
      <c r="E32" s="58"/>
      <c r="F32" s="61"/>
      <c r="G32" s="1"/>
      <c r="H32" s="1"/>
      <c r="I32" s="1"/>
    </row>
    <row r="33" spans="1:9" ht="15" x14ac:dyDescent="0.2">
      <c r="A33" s="1"/>
      <c r="B33" s="86" t="s">
        <v>86</v>
      </c>
      <c r="C33" s="116" t="s">
        <v>50</v>
      </c>
      <c r="D33" s="23"/>
      <c r="E33" s="58"/>
      <c r="F33" s="61"/>
      <c r="G33" s="1"/>
      <c r="H33" s="1"/>
      <c r="I33" s="1"/>
    </row>
    <row r="34" spans="1:9" ht="15.75" x14ac:dyDescent="0.25">
      <c r="A34" s="1"/>
      <c r="B34" s="16"/>
      <c r="C34" s="118" t="s">
        <v>51</v>
      </c>
      <c r="D34" s="123" t="str">
        <f>IF(D22="Lower",IF(E28="Accept","Incorrectly Rejected","Correctly Rejected"),IF(D22="Higher",IF(E28="Accept","Correctly Accepted","Incorrectly Accepted")))</f>
        <v>Correctly Rejected</v>
      </c>
      <c r="E34" s="58"/>
      <c r="F34" s="61"/>
      <c r="G34" s="1"/>
      <c r="H34" s="1"/>
      <c r="I34" s="1"/>
    </row>
    <row r="35" spans="1:9" ht="15.75" x14ac:dyDescent="0.25">
      <c r="A35" s="1"/>
      <c r="B35" s="16"/>
      <c r="C35" s="118" t="s">
        <v>52</v>
      </c>
      <c r="D35" s="123" t="str">
        <f>IF(D23="Lower",IF(E29="Accept","Incorrectly Rejected","Correctly Rejected"),IF(D23="Higher",IF(E29="Accept","Correctly Accepted","Incorrectly Accepted")))</f>
        <v>Incorrectly Rejected</v>
      </c>
      <c r="E35" s="58"/>
      <c r="F35" s="61"/>
      <c r="G35" s="1"/>
      <c r="H35" s="1"/>
      <c r="I35" s="1"/>
    </row>
    <row r="36" spans="1:9" ht="15.75" x14ac:dyDescent="0.25">
      <c r="A36" s="1"/>
      <c r="B36" s="16"/>
      <c r="C36" s="118" t="s">
        <v>53</v>
      </c>
      <c r="D36" s="123" t="str">
        <f>IF(D24="Lower",IF(E30="Accept","Incorrectly Rejected","Correctly Rejected"),IF(D24="Higher",IF(E30="Accept","Correctly Accepted","Incorrectly Accepted")))</f>
        <v>Correctly Accepted</v>
      </c>
      <c r="E36" s="58"/>
      <c r="F36" s="61"/>
      <c r="G36" s="1"/>
      <c r="H36" s="1"/>
      <c r="I36" s="1"/>
    </row>
    <row r="37" spans="1:9" ht="15.75" x14ac:dyDescent="0.25">
      <c r="A37" s="1"/>
      <c r="B37" s="16"/>
      <c r="C37" s="118" t="s">
        <v>54</v>
      </c>
      <c r="D37" s="123" t="str">
        <f>IF(D25="Lower",IF(E31="Accept","Incorrectly Rejected","Correctly Rejected"),IF(D25="Higher",IF(E31="Accept","Correctly Accepted","Incorrectly Accepted")))</f>
        <v>Incorrectly Accepted</v>
      </c>
      <c r="E37" s="58"/>
      <c r="F37" s="61"/>
      <c r="G37" s="1"/>
      <c r="H37" s="1"/>
      <c r="I37" s="1"/>
    </row>
    <row r="38" spans="1:9" ht="15.75" thickBot="1" x14ac:dyDescent="0.25">
      <c r="A38" s="1"/>
      <c r="B38" s="19"/>
      <c r="C38" s="20"/>
      <c r="D38" s="33"/>
      <c r="E38" s="62"/>
      <c r="F38" s="63"/>
      <c r="G38" s="1"/>
      <c r="H38" s="1"/>
      <c r="I38" s="1"/>
    </row>
    <row r="39" spans="1:9" ht="15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ht="15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ht="15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ht="15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ht="15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15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ht="15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ht="15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ht="15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ht="15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ht="15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ht="15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ht="15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ht="15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ht="15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ht="15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ht="15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ht="15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ht="15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ht="15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ht="15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ht="15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ht="15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ht="15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ht="15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ht="15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ht="15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ht="15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" x14ac:dyDescent="0.2">
      <c r="A91" s="1"/>
      <c r="B91" s="1"/>
      <c r="C91" s="1"/>
      <c r="D91" s="1"/>
      <c r="E91" s="1"/>
      <c r="F91" s="1"/>
      <c r="G91" s="1"/>
      <c r="H91" s="1"/>
      <c r="I91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153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183</v>
      </c>
      <c r="D7" s="107">
        <v>43000000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55</v>
      </c>
      <c r="D8" s="110">
        <v>0.65</v>
      </c>
      <c r="E8" s="180"/>
      <c r="F8" s="50"/>
      <c r="G8" s="176"/>
      <c r="H8" s="147"/>
      <c r="I8" s="147"/>
      <c r="J8" s="147"/>
    </row>
    <row r="9" spans="1:10" ht="15" x14ac:dyDescent="0.2">
      <c r="A9" s="147"/>
      <c r="B9" s="154"/>
      <c r="C9" s="177" t="s">
        <v>176</v>
      </c>
      <c r="D9" s="108">
        <v>0.06</v>
      </c>
      <c r="E9" s="180"/>
      <c r="F9" s="50"/>
      <c r="G9" s="176"/>
      <c r="H9" s="147"/>
      <c r="I9" s="147"/>
      <c r="J9" s="147"/>
    </row>
    <row r="10" spans="1:10" ht="15" x14ac:dyDescent="0.2">
      <c r="A10" s="147"/>
      <c r="B10" s="154"/>
      <c r="C10" s="177" t="s">
        <v>184</v>
      </c>
      <c r="D10" s="108">
        <v>0.02</v>
      </c>
      <c r="E10" s="180"/>
      <c r="F10" s="50"/>
      <c r="G10" s="194"/>
      <c r="I10" s="147"/>
      <c r="J10" s="147"/>
    </row>
    <row r="11" spans="1:10" ht="15.75" thickBot="1" x14ac:dyDescent="0.25">
      <c r="A11" s="147"/>
      <c r="B11" s="160"/>
      <c r="C11" s="161"/>
      <c r="D11" s="183"/>
      <c r="E11" s="163"/>
      <c r="F11" s="176"/>
      <c r="G11" s="184"/>
      <c r="H11" s="185"/>
      <c r="I11" s="147"/>
      <c r="J11" s="147"/>
    </row>
    <row r="12" spans="1:10" ht="15" x14ac:dyDescent="0.2">
      <c r="A12" s="147"/>
      <c r="B12" s="147"/>
      <c r="E12" s="147"/>
      <c r="F12" s="147"/>
      <c r="G12" s="147"/>
      <c r="H12" s="147"/>
      <c r="I12" s="147"/>
      <c r="J12" s="147"/>
    </row>
    <row r="13" spans="1:10" ht="15" x14ac:dyDescent="0.2">
      <c r="A13" s="147"/>
      <c r="B13" s="147"/>
      <c r="C13" s="150" t="s">
        <v>2</v>
      </c>
      <c r="D13" s="147"/>
      <c r="E13" s="147"/>
      <c r="F13" s="147"/>
      <c r="G13" s="147"/>
      <c r="H13" s="147"/>
      <c r="I13" s="147"/>
      <c r="J13" s="147"/>
    </row>
    <row r="14" spans="1:10" ht="15.75" thickBot="1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" x14ac:dyDescent="0.2">
      <c r="A15" s="147"/>
      <c r="B15" s="164"/>
      <c r="C15" s="165"/>
      <c r="D15" s="165"/>
      <c r="E15" s="166"/>
      <c r="F15" s="147"/>
      <c r="G15" s="147"/>
      <c r="H15" s="147"/>
      <c r="I15" s="147"/>
      <c r="J15" s="147"/>
    </row>
    <row r="16" spans="1:10" ht="15" x14ac:dyDescent="0.2">
      <c r="A16" s="147"/>
      <c r="B16" s="167" t="s">
        <v>84</v>
      </c>
      <c r="C16" s="168" t="s">
        <v>185</v>
      </c>
      <c r="D16" s="195"/>
      <c r="E16" s="170"/>
      <c r="F16" s="187"/>
      <c r="G16" s="147"/>
      <c r="H16" s="147"/>
      <c r="I16" s="147"/>
      <c r="J16" s="147"/>
    </row>
    <row r="17" spans="1:10" ht="15" x14ac:dyDescent="0.2">
      <c r="A17" s="147"/>
      <c r="B17" s="167"/>
      <c r="C17" s="168" t="s">
        <v>259</v>
      </c>
      <c r="D17" s="196"/>
      <c r="E17" s="170"/>
      <c r="F17" s="187"/>
      <c r="G17" s="147"/>
      <c r="H17" s="147"/>
      <c r="I17" s="147"/>
      <c r="J17" s="147"/>
    </row>
    <row r="18" spans="1:10" ht="15" x14ac:dyDescent="0.2">
      <c r="A18" s="147"/>
      <c r="B18" s="167"/>
      <c r="C18" s="168"/>
      <c r="D18" s="196"/>
      <c r="E18" s="170"/>
      <c r="F18" s="187"/>
      <c r="G18" s="147"/>
      <c r="H18" s="147"/>
      <c r="I18" s="147"/>
      <c r="J18" s="147"/>
    </row>
    <row r="19" spans="1:10" ht="19.5" x14ac:dyDescent="0.35">
      <c r="A19" s="147"/>
      <c r="B19" s="167" t="s">
        <v>85</v>
      </c>
      <c r="C19" s="168" t="s">
        <v>186</v>
      </c>
      <c r="D19" s="197">
        <f>(D10*(D8/(1+D8)))+(D9*(1/(1+D8)))</f>
        <v>4.4242424242424243E-2</v>
      </c>
      <c r="E19" s="170"/>
      <c r="F19" s="187"/>
      <c r="G19" s="147"/>
      <c r="H19" s="147"/>
      <c r="I19" s="147"/>
      <c r="J19" s="147"/>
    </row>
    <row r="20" spans="1:10" ht="15.75" x14ac:dyDescent="0.25">
      <c r="A20" s="147"/>
      <c r="B20" s="167"/>
      <c r="C20" s="168"/>
      <c r="D20" s="198"/>
      <c r="E20" s="170"/>
      <c r="F20" s="187"/>
      <c r="G20" s="147"/>
      <c r="H20" s="147"/>
      <c r="I20" s="147"/>
      <c r="J20" s="147"/>
    </row>
    <row r="21" spans="1:10" ht="15.75" x14ac:dyDescent="0.25">
      <c r="A21" s="147"/>
      <c r="B21" s="167" t="s">
        <v>86</v>
      </c>
      <c r="C21" s="168" t="s">
        <v>187</v>
      </c>
      <c r="D21" s="55">
        <f>D7/(1-D19)</f>
        <v>44990488.26886493</v>
      </c>
      <c r="E21" s="170"/>
      <c r="F21" s="187"/>
      <c r="G21" s="147"/>
      <c r="H21" s="147"/>
      <c r="I21" s="147"/>
      <c r="J21" s="147"/>
    </row>
    <row r="22" spans="1:10" ht="15.75" x14ac:dyDescent="0.25">
      <c r="A22" s="147"/>
      <c r="B22" s="167"/>
      <c r="C22" s="168" t="s">
        <v>188</v>
      </c>
      <c r="D22" s="172"/>
      <c r="E22" s="170"/>
      <c r="F22" s="187"/>
      <c r="G22" s="147"/>
      <c r="H22" s="147"/>
      <c r="I22" s="147"/>
      <c r="J22" s="147"/>
    </row>
    <row r="23" spans="1:10" ht="15.75" x14ac:dyDescent="0.25">
      <c r="A23" s="147"/>
      <c r="B23" s="167"/>
      <c r="C23" s="168" t="s">
        <v>189</v>
      </c>
      <c r="D23" s="172"/>
      <c r="E23" s="170"/>
      <c r="F23" s="187"/>
      <c r="G23" s="147"/>
      <c r="H23" s="147"/>
      <c r="I23" s="147"/>
      <c r="J23" s="147"/>
    </row>
    <row r="24" spans="1:10" ht="15.75" x14ac:dyDescent="0.25">
      <c r="A24" s="147"/>
      <c r="B24" s="186"/>
      <c r="C24" s="168" t="s">
        <v>190</v>
      </c>
      <c r="D24" s="172"/>
      <c r="E24" s="170"/>
      <c r="F24" s="187"/>
      <c r="G24" s="147"/>
      <c r="H24" s="147"/>
      <c r="I24" s="147"/>
      <c r="J24" s="147"/>
    </row>
    <row r="25" spans="1:10" ht="15.75" x14ac:dyDescent="0.25">
      <c r="A25" s="147"/>
      <c r="B25" s="186"/>
      <c r="C25" s="168" t="s">
        <v>191</v>
      </c>
      <c r="D25" s="172"/>
      <c r="E25" s="170"/>
      <c r="F25" s="187"/>
      <c r="G25" s="147"/>
      <c r="H25" s="147"/>
      <c r="I25" s="147"/>
      <c r="J25" s="147"/>
    </row>
    <row r="26" spans="1:10" ht="15.75" x14ac:dyDescent="0.25">
      <c r="A26" s="147"/>
      <c r="B26" s="186"/>
      <c r="C26" s="168" t="s">
        <v>192</v>
      </c>
      <c r="D26" s="172"/>
      <c r="E26" s="170"/>
      <c r="F26" s="187"/>
      <c r="G26" s="147"/>
      <c r="H26" s="147"/>
      <c r="I26" s="147"/>
      <c r="J26" s="147"/>
    </row>
    <row r="27" spans="1:10" ht="15.75" thickBot="1" x14ac:dyDescent="0.25">
      <c r="A27" s="147"/>
      <c r="B27" s="189"/>
      <c r="C27" s="174"/>
      <c r="D27" s="190"/>
      <c r="E27" s="175"/>
      <c r="F27" s="147"/>
      <c r="G27" s="147"/>
      <c r="H27" s="147"/>
      <c r="I27" s="147"/>
      <c r="J27" s="147"/>
    </row>
    <row r="28" spans="1:10" ht="15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154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183</v>
      </c>
      <c r="D7" s="107">
        <v>75000000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/>
      <c r="D8" s="107"/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99" t="s">
        <v>193</v>
      </c>
      <c r="D9" s="110"/>
      <c r="E9" s="180"/>
      <c r="F9" s="50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26</v>
      </c>
      <c r="D10" s="108">
        <v>0.7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194</v>
      </c>
      <c r="D11" s="108">
        <v>0.05</v>
      </c>
      <c r="E11" s="180"/>
      <c r="F11" s="50"/>
      <c r="G11" s="194"/>
      <c r="I11" s="147"/>
      <c r="J11" s="147"/>
    </row>
    <row r="12" spans="1:10" ht="15.75" customHeight="1" x14ac:dyDescent="0.2">
      <c r="A12" s="147"/>
      <c r="B12" s="154"/>
      <c r="C12" s="177" t="s">
        <v>27</v>
      </c>
      <c r="D12" s="200">
        <f>1-D10-D11</f>
        <v>0.25000000000000006</v>
      </c>
      <c r="E12" s="180"/>
      <c r="F12" s="50"/>
      <c r="G12" s="194"/>
      <c r="I12" s="147"/>
      <c r="J12" s="147"/>
    </row>
    <row r="13" spans="1:10" ht="15.75" customHeight="1" x14ac:dyDescent="0.2">
      <c r="A13" s="147"/>
      <c r="B13" s="154"/>
      <c r="C13" s="177"/>
      <c r="D13" s="108"/>
      <c r="E13" s="180"/>
      <c r="F13" s="50"/>
      <c r="G13" s="194"/>
      <c r="I13" s="147"/>
      <c r="J13" s="147"/>
    </row>
    <row r="14" spans="1:10" ht="15.75" customHeight="1" x14ac:dyDescent="0.2">
      <c r="A14" s="147"/>
      <c r="B14" s="154"/>
      <c r="C14" s="199" t="s">
        <v>195</v>
      </c>
      <c r="D14" s="108"/>
      <c r="E14" s="180"/>
      <c r="F14" s="50"/>
      <c r="G14" s="194"/>
      <c r="I14" s="147"/>
      <c r="J14" s="147"/>
    </row>
    <row r="15" spans="1:10" ht="15.75" customHeight="1" x14ac:dyDescent="0.2">
      <c r="A15" s="147"/>
      <c r="B15" s="154"/>
      <c r="C15" s="177" t="s">
        <v>26</v>
      </c>
      <c r="D15" s="108">
        <v>7.0000000000000007E-2</v>
      </c>
      <c r="E15" s="180"/>
      <c r="F15" s="50"/>
      <c r="G15" s="194"/>
      <c r="I15" s="147"/>
      <c r="J15" s="147"/>
    </row>
    <row r="16" spans="1:10" ht="15.75" customHeight="1" x14ac:dyDescent="0.2">
      <c r="A16" s="147"/>
      <c r="B16" s="154"/>
      <c r="C16" s="177" t="s">
        <v>194</v>
      </c>
      <c r="D16" s="108">
        <v>0.04</v>
      </c>
      <c r="E16" s="180"/>
      <c r="F16" s="50"/>
      <c r="G16" s="194"/>
      <c r="I16" s="147"/>
      <c r="J16" s="147"/>
    </row>
    <row r="17" spans="1:10" ht="15.75" customHeight="1" x14ac:dyDescent="0.2">
      <c r="A17" s="147"/>
      <c r="B17" s="154"/>
      <c r="C17" s="177" t="s">
        <v>27</v>
      </c>
      <c r="D17" s="108">
        <v>0.03</v>
      </c>
      <c r="E17" s="180"/>
      <c r="F17" s="50"/>
      <c r="G17" s="194"/>
      <c r="I17" s="147"/>
      <c r="J17" s="147"/>
    </row>
    <row r="18" spans="1:10" ht="15.75" customHeight="1" thickBot="1" x14ac:dyDescent="0.25">
      <c r="A18" s="147"/>
      <c r="B18" s="160"/>
      <c r="C18" s="182"/>
      <c r="D18" s="183"/>
      <c r="E18" s="163"/>
      <c r="F18" s="176"/>
      <c r="G18" s="184"/>
      <c r="H18" s="185"/>
      <c r="I18" s="147"/>
      <c r="J18" s="147"/>
    </row>
    <row r="19" spans="1:10" ht="15.75" customHeight="1" x14ac:dyDescent="0.2">
      <c r="A19" s="147"/>
      <c r="B19" s="147"/>
      <c r="E19" s="147"/>
      <c r="F19" s="147"/>
      <c r="G19" s="147"/>
      <c r="H19" s="147"/>
      <c r="I19" s="147"/>
      <c r="J19" s="147"/>
    </row>
    <row r="20" spans="1:10" ht="15.75" customHeight="1" x14ac:dyDescent="0.2">
      <c r="A20" s="147"/>
      <c r="B20" s="147"/>
      <c r="C20" s="150" t="s">
        <v>2</v>
      </c>
      <c r="D20" s="147"/>
      <c r="E20" s="147"/>
      <c r="F20" s="147"/>
      <c r="G20" s="147"/>
      <c r="H20" s="147"/>
      <c r="I20" s="147"/>
      <c r="J20" s="147"/>
    </row>
    <row r="21" spans="1:10" ht="15.75" customHeight="1" thickBo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ht="15.75" customHeight="1" x14ac:dyDescent="0.2">
      <c r="A22" s="147"/>
      <c r="B22" s="164"/>
      <c r="C22" s="165"/>
      <c r="D22" s="165"/>
      <c r="E22" s="166"/>
      <c r="F22" s="147"/>
      <c r="G22" s="147"/>
      <c r="H22" s="147"/>
      <c r="I22" s="147"/>
      <c r="J22" s="147"/>
    </row>
    <row r="23" spans="1:10" ht="15.75" customHeight="1" x14ac:dyDescent="0.35">
      <c r="A23" s="147"/>
      <c r="B23" s="186"/>
      <c r="C23" s="168" t="s">
        <v>186</v>
      </c>
      <c r="D23" s="201">
        <f>(D10*D15)+(D11*D16)+(D12*D17)</f>
        <v>5.8500000000000003E-2</v>
      </c>
      <c r="E23" s="170"/>
      <c r="F23" s="187"/>
      <c r="G23" s="147"/>
      <c r="H23" s="147"/>
      <c r="I23" s="147"/>
      <c r="J23" s="147"/>
    </row>
    <row r="24" spans="1:10" ht="15.75" customHeight="1" x14ac:dyDescent="0.25">
      <c r="A24" s="147"/>
      <c r="B24" s="186"/>
      <c r="C24" s="168"/>
      <c r="D24" s="198"/>
      <c r="E24" s="170"/>
      <c r="F24" s="187"/>
      <c r="G24" s="147"/>
      <c r="H24" s="147"/>
      <c r="I24" s="147"/>
      <c r="J24" s="147"/>
    </row>
    <row r="25" spans="1:10" ht="15.75" customHeight="1" x14ac:dyDescent="0.25">
      <c r="A25" s="147"/>
      <c r="B25" s="186"/>
      <c r="C25" s="168" t="s">
        <v>187</v>
      </c>
      <c r="D25" s="55">
        <f>D7/(1-D23)</f>
        <v>79660116.834838018</v>
      </c>
      <c r="E25" s="170"/>
      <c r="F25" s="187"/>
      <c r="G25" s="147"/>
      <c r="H25" s="147"/>
      <c r="I25" s="147"/>
      <c r="J25" s="147"/>
    </row>
    <row r="26" spans="1:10" ht="15.75" customHeight="1" thickBot="1" x14ac:dyDescent="0.25">
      <c r="A26" s="147"/>
      <c r="B26" s="189"/>
      <c r="C26" s="174"/>
      <c r="D26" s="190"/>
      <c r="E26" s="175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3.140625" customWidth="1"/>
    <col min="6" max="7" width="9.1406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144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48"/>
      <c r="G6" s="48"/>
      <c r="H6" s="1"/>
      <c r="I6" s="1"/>
      <c r="J6" s="1"/>
    </row>
    <row r="7" spans="1:10" ht="15.75" customHeight="1" x14ac:dyDescent="0.2">
      <c r="A7" s="1"/>
      <c r="B7" s="6"/>
      <c r="C7" s="47" t="s">
        <v>56</v>
      </c>
      <c r="D7" s="107">
        <v>1850000</v>
      </c>
      <c r="E7" s="52"/>
      <c r="F7" s="49"/>
      <c r="G7" s="48"/>
      <c r="H7" s="1"/>
      <c r="I7" s="1"/>
      <c r="J7" s="1"/>
    </row>
    <row r="8" spans="1:10" ht="15.75" customHeight="1" x14ac:dyDescent="0.2">
      <c r="A8" s="1"/>
      <c r="B8" s="6"/>
      <c r="C8" s="47" t="s">
        <v>3</v>
      </c>
      <c r="D8" s="108">
        <v>0.03</v>
      </c>
      <c r="E8" s="52"/>
      <c r="F8" s="49"/>
      <c r="G8" s="48"/>
      <c r="H8" s="1"/>
      <c r="I8" s="1"/>
      <c r="J8" s="1"/>
    </row>
    <row r="9" spans="1:10" ht="15.75" customHeight="1" x14ac:dyDescent="0.2">
      <c r="A9" s="1"/>
      <c r="B9" s="6"/>
      <c r="C9" s="47" t="s">
        <v>57</v>
      </c>
      <c r="D9" s="108">
        <v>0.02</v>
      </c>
      <c r="E9" s="52"/>
      <c r="F9" s="49"/>
      <c r="G9" s="48"/>
      <c r="H9" s="1"/>
      <c r="I9" s="1"/>
      <c r="J9" s="1"/>
    </row>
    <row r="10" spans="1:10" ht="15.75" customHeight="1" x14ac:dyDescent="0.2">
      <c r="A10" s="1"/>
      <c r="B10" s="6"/>
      <c r="C10" s="47" t="s">
        <v>55</v>
      </c>
      <c r="D10" s="110">
        <v>0.65</v>
      </c>
      <c r="E10" s="53"/>
      <c r="F10" s="50"/>
      <c r="G10" s="48"/>
      <c r="H10" s="1"/>
      <c r="I10" s="1"/>
      <c r="J10" s="1"/>
    </row>
    <row r="11" spans="1:10" ht="15.75" customHeight="1" x14ac:dyDescent="0.2">
      <c r="A11" s="1"/>
      <c r="B11" s="6"/>
      <c r="C11" s="47" t="s">
        <v>4</v>
      </c>
      <c r="D11" s="108">
        <v>0.11</v>
      </c>
      <c r="E11" s="53"/>
      <c r="F11" s="50"/>
      <c r="G11" s="48"/>
      <c r="H11" s="1"/>
      <c r="I11" s="1"/>
      <c r="J11" s="1"/>
    </row>
    <row r="12" spans="1:10" ht="15.75" customHeight="1" x14ac:dyDescent="0.2">
      <c r="A12" s="1"/>
      <c r="B12" s="6"/>
      <c r="C12" s="47" t="s">
        <v>58</v>
      </c>
      <c r="D12" s="140">
        <v>4.2999999999999997E-2</v>
      </c>
      <c r="E12" s="53"/>
      <c r="F12" s="50"/>
      <c r="G12" s="51"/>
      <c r="I12" s="1"/>
      <c r="J12" s="1"/>
    </row>
    <row r="13" spans="1:10" ht="15.75" customHeight="1" thickBot="1" x14ac:dyDescent="0.25">
      <c r="A13" s="1"/>
      <c r="B13" s="8"/>
      <c r="C13" s="56"/>
      <c r="D13" s="36"/>
      <c r="E13" s="10"/>
      <c r="F13" s="48"/>
      <c r="G13" s="34"/>
      <c r="H13" s="35"/>
      <c r="I13" s="1"/>
      <c r="J13" s="1"/>
    </row>
    <row r="14" spans="1:10" ht="15.75" customHeight="1" x14ac:dyDescent="0.2">
      <c r="A14" s="1"/>
      <c r="B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">
      <c r="A18" s="1"/>
      <c r="B18" s="16"/>
      <c r="C18" s="17" t="s">
        <v>29</v>
      </c>
      <c r="D18" s="124">
        <f>((D10/(1+D10))*D12)+(D11*(1/(1+D10)))</f>
        <v>8.36060606060606E-2</v>
      </c>
      <c r="E18" s="18"/>
      <c r="F18" s="37"/>
      <c r="G18" s="1"/>
      <c r="H18" s="1"/>
      <c r="I18" s="1"/>
      <c r="J18" s="1"/>
    </row>
    <row r="19" spans="1:10" ht="15.75" customHeight="1" x14ac:dyDescent="0.2">
      <c r="A19" s="1"/>
      <c r="B19" s="16"/>
      <c r="C19" s="17" t="s">
        <v>118</v>
      </c>
      <c r="D19" s="124">
        <f>D18+D9</f>
        <v>0.1036060606060606</v>
      </c>
      <c r="E19" s="18"/>
      <c r="F19" s="37"/>
      <c r="G19" s="1"/>
      <c r="H19" s="1"/>
      <c r="I19" s="1"/>
      <c r="J19" s="1"/>
    </row>
    <row r="20" spans="1:10" ht="15.75" customHeight="1" x14ac:dyDescent="0.25">
      <c r="A20" s="1"/>
      <c r="B20" s="16"/>
      <c r="C20" s="17" t="s">
        <v>260</v>
      </c>
      <c r="D20" s="55">
        <f>(D7)/(D19-D8)</f>
        <v>25133799.917661589</v>
      </c>
      <c r="E20" s="18"/>
      <c r="F20" s="37"/>
      <c r="G20" s="1"/>
      <c r="H20" s="1"/>
      <c r="I20" s="1"/>
      <c r="J20" s="1"/>
    </row>
    <row r="21" spans="1:10" ht="15.75" customHeight="1" x14ac:dyDescent="0.2">
      <c r="A21" s="1"/>
      <c r="B21" s="16"/>
      <c r="C21" s="17" t="s">
        <v>60</v>
      </c>
      <c r="D21" s="57"/>
      <c r="E21" s="18"/>
      <c r="F21" s="37"/>
      <c r="G21" s="1"/>
      <c r="H21" s="1"/>
      <c r="I21" s="1"/>
      <c r="J21" s="1"/>
    </row>
    <row r="22" spans="1:10" ht="15.75" customHeight="1" x14ac:dyDescent="0.2">
      <c r="A22" s="1"/>
      <c r="B22" s="16"/>
      <c r="C22" s="17" t="s">
        <v>72</v>
      </c>
      <c r="D22" s="125">
        <f>D20</f>
        <v>25133799.917661589</v>
      </c>
      <c r="E22" s="18"/>
      <c r="F22" s="37"/>
      <c r="G22" s="1"/>
      <c r="H22" s="1"/>
      <c r="I22" s="1"/>
      <c r="J22" s="1"/>
    </row>
    <row r="23" spans="1:10" ht="15.75" customHeight="1" thickBot="1" x14ac:dyDescent="0.25">
      <c r="A23" s="1"/>
      <c r="B23" s="19"/>
      <c r="C23" s="20"/>
      <c r="D23" s="33"/>
      <c r="E23" s="2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4.5703125" customWidth="1"/>
    <col min="7" max="7" width="9.5703125" bestFit="1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196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24" t="s">
        <v>145</v>
      </c>
      <c r="D7" s="106"/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109</v>
      </c>
      <c r="D8" s="85">
        <v>40000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40" t="s">
        <v>89</v>
      </c>
      <c r="D9" s="143">
        <v>36526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40" t="s">
        <v>90</v>
      </c>
      <c r="D10" s="143">
        <v>42005</v>
      </c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40" t="s">
        <v>91</v>
      </c>
      <c r="D11" s="94">
        <v>4.9000000000000002E-2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40" t="s">
        <v>92</v>
      </c>
      <c r="D12" s="85">
        <v>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142">
        <v>106.5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40" t="s">
        <v>253</v>
      </c>
      <c r="D14" s="83">
        <v>1000</v>
      </c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40"/>
      <c r="D15" s="85"/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145" t="s">
        <v>146</v>
      </c>
      <c r="D16" s="85"/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11" t="s">
        <v>109</v>
      </c>
      <c r="D17" s="85">
        <v>40000</v>
      </c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40" t="s">
        <v>89</v>
      </c>
      <c r="D18" s="143">
        <v>36526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40" t="s">
        <v>90</v>
      </c>
      <c r="D19" s="143">
        <v>47484</v>
      </c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40" t="s">
        <v>91</v>
      </c>
      <c r="D20" s="144">
        <v>0</v>
      </c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40" t="s">
        <v>92</v>
      </c>
      <c r="D21" s="85">
        <v>2</v>
      </c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40" t="s">
        <v>93</v>
      </c>
      <c r="D22" s="142">
        <v>21.8</v>
      </c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40" t="s">
        <v>253</v>
      </c>
      <c r="D23" s="83">
        <v>10000</v>
      </c>
      <c r="E23" s="7"/>
      <c r="F23" s="1"/>
      <c r="G23" s="1"/>
      <c r="H23" s="1"/>
      <c r="I23" s="1"/>
      <c r="J23" s="1"/>
    </row>
    <row r="24" spans="1:10" ht="15" x14ac:dyDescent="0.2">
      <c r="A24" s="1"/>
      <c r="B24" s="6"/>
      <c r="C24" s="11"/>
      <c r="D24" s="81"/>
      <c r="E24" s="7"/>
      <c r="F24" s="1"/>
      <c r="G24" s="1"/>
      <c r="H24" s="1"/>
      <c r="I24" s="1"/>
      <c r="J24" s="1"/>
    </row>
    <row r="25" spans="1:10" ht="15" x14ac:dyDescent="0.2">
      <c r="A25" s="1"/>
      <c r="B25" s="6"/>
      <c r="C25" s="24" t="s">
        <v>110</v>
      </c>
      <c r="D25" s="106"/>
      <c r="E25" s="7"/>
      <c r="F25" s="1"/>
      <c r="G25" s="1"/>
      <c r="H25" s="1"/>
      <c r="I25" s="1"/>
      <c r="J25" s="1"/>
    </row>
    <row r="26" spans="1:10" ht="15" x14ac:dyDescent="0.2">
      <c r="A26" s="1"/>
      <c r="B26" s="6"/>
      <c r="C26" s="11" t="s">
        <v>42</v>
      </c>
      <c r="D26" s="106">
        <v>1900000</v>
      </c>
      <c r="E26" s="7"/>
      <c r="F26" s="1"/>
      <c r="G26" s="1"/>
      <c r="H26" s="1"/>
      <c r="I26" s="1"/>
      <c r="J26" s="1"/>
    </row>
    <row r="27" spans="1:10" ht="15" x14ac:dyDescent="0.2">
      <c r="A27" s="1"/>
      <c r="B27" s="6"/>
      <c r="C27" s="11" t="s">
        <v>6</v>
      </c>
      <c r="D27" s="93">
        <v>1.1499999999999999</v>
      </c>
      <c r="E27" s="7"/>
      <c r="F27" s="1"/>
      <c r="G27" s="1"/>
      <c r="H27" s="1"/>
      <c r="I27" s="1"/>
      <c r="J27" s="1"/>
    </row>
    <row r="28" spans="1:10" ht="15" x14ac:dyDescent="0.2">
      <c r="A28" s="1"/>
      <c r="B28" s="6"/>
      <c r="C28" s="11" t="s">
        <v>43</v>
      </c>
      <c r="D28" s="83">
        <v>73</v>
      </c>
      <c r="E28" s="7"/>
      <c r="F28" s="1"/>
      <c r="G28" s="1"/>
      <c r="H28" s="1"/>
      <c r="I28" s="1"/>
      <c r="J28" s="1"/>
    </row>
    <row r="29" spans="1:10" ht="15" x14ac:dyDescent="0.2">
      <c r="A29" s="1"/>
      <c r="B29" s="6"/>
      <c r="C29" s="11"/>
      <c r="D29" s="81"/>
      <c r="E29" s="7"/>
      <c r="F29" s="1"/>
      <c r="G29" s="1"/>
      <c r="H29" s="1"/>
      <c r="I29" s="1"/>
      <c r="J29" s="1"/>
    </row>
    <row r="30" spans="1:10" ht="15" x14ac:dyDescent="0.2">
      <c r="A30" s="1"/>
      <c r="B30" s="6"/>
      <c r="C30" s="24" t="s">
        <v>44</v>
      </c>
      <c r="D30" s="106"/>
      <c r="E30" s="7"/>
      <c r="F30" s="1"/>
      <c r="G30" s="1"/>
      <c r="H30" s="1"/>
      <c r="I30" s="1"/>
      <c r="J30" s="1"/>
    </row>
    <row r="31" spans="1:10" ht="15" x14ac:dyDescent="0.2">
      <c r="A31" s="1"/>
      <c r="B31" s="6"/>
      <c r="C31" s="11" t="s">
        <v>42</v>
      </c>
      <c r="D31" s="106">
        <v>135000</v>
      </c>
      <c r="E31" s="7"/>
      <c r="F31" s="1"/>
      <c r="G31" s="1"/>
      <c r="H31" s="1"/>
      <c r="I31" s="1"/>
      <c r="J31" s="1"/>
    </row>
    <row r="32" spans="1:10" ht="15" x14ac:dyDescent="0.2">
      <c r="A32" s="1"/>
      <c r="B32" s="6"/>
      <c r="C32" s="11" t="s">
        <v>19</v>
      </c>
      <c r="D32" s="94">
        <v>3.5000000000000003E-2</v>
      </c>
      <c r="E32" s="7"/>
      <c r="F32" s="1"/>
      <c r="G32" s="1"/>
      <c r="H32" s="1"/>
      <c r="I32" s="1"/>
      <c r="J32" s="1"/>
    </row>
    <row r="33" spans="1:10" ht="15" x14ac:dyDescent="0.2">
      <c r="A33" s="1"/>
      <c r="B33" s="6"/>
      <c r="C33" s="11" t="s">
        <v>43</v>
      </c>
      <c r="D33" s="83">
        <v>87</v>
      </c>
      <c r="E33" s="7"/>
      <c r="F33" s="1"/>
      <c r="G33" s="1"/>
      <c r="H33" s="1"/>
      <c r="I33" s="1"/>
      <c r="J33" s="1"/>
    </row>
    <row r="34" spans="1:10" ht="15" x14ac:dyDescent="0.2">
      <c r="A34" s="1"/>
      <c r="B34" s="6"/>
      <c r="C34" s="11"/>
      <c r="D34" s="79"/>
      <c r="E34" s="7"/>
      <c r="F34" s="1"/>
      <c r="G34" s="1"/>
      <c r="H34" s="1"/>
      <c r="I34" s="1"/>
      <c r="J34" s="1"/>
    </row>
    <row r="35" spans="1:10" ht="15" x14ac:dyDescent="0.2">
      <c r="A35" s="1"/>
      <c r="B35" s="6"/>
      <c r="C35" s="24" t="s">
        <v>111</v>
      </c>
      <c r="D35" s="78"/>
      <c r="E35" s="7"/>
      <c r="F35" s="1"/>
      <c r="G35" s="1"/>
      <c r="H35" s="1"/>
      <c r="I35" s="1"/>
      <c r="J35" s="1"/>
    </row>
    <row r="36" spans="1:10" ht="15" x14ac:dyDescent="0.2">
      <c r="A36" s="1"/>
      <c r="B36" s="6"/>
      <c r="C36" s="11" t="s">
        <v>9</v>
      </c>
      <c r="D36" s="94">
        <v>7.0000000000000007E-2</v>
      </c>
      <c r="E36" s="7"/>
      <c r="F36" s="1"/>
      <c r="G36" s="1"/>
      <c r="H36" s="1"/>
      <c r="I36" s="1"/>
      <c r="J36" s="1"/>
    </row>
    <row r="37" spans="1:10" ht="15" x14ac:dyDescent="0.2">
      <c r="A37" s="1"/>
      <c r="B37" s="6"/>
      <c r="C37" s="11" t="s">
        <v>7</v>
      </c>
      <c r="D37" s="94">
        <v>3.5999999999999997E-2</v>
      </c>
      <c r="E37" s="7"/>
      <c r="F37" s="1"/>
      <c r="G37" s="1"/>
      <c r="H37" s="1"/>
      <c r="I37" s="1"/>
      <c r="J37" s="1"/>
    </row>
    <row r="38" spans="1:10" ht="15" x14ac:dyDescent="0.2">
      <c r="A38" s="1"/>
      <c r="B38" s="6"/>
      <c r="C38" s="11" t="s">
        <v>14</v>
      </c>
      <c r="D38" s="78">
        <v>0.23</v>
      </c>
      <c r="E38" s="7"/>
      <c r="F38" s="1"/>
      <c r="G38" s="1"/>
      <c r="H38" s="1"/>
      <c r="I38" s="1"/>
      <c r="J38" s="1"/>
    </row>
    <row r="39" spans="1:10" ht="15" customHeight="1" thickBot="1" x14ac:dyDescent="0.25">
      <c r="A39" s="1"/>
      <c r="B39" s="8"/>
      <c r="C39" s="12"/>
      <c r="D39" s="9"/>
      <c r="E39" s="10"/>
      <c r="F39" s="1"/>
      <c r="G39" s="1"/>
      <c r="H39" s="1"/>
      <c r="I39" s="1"/>
      <c r="J39" s="1"/>
    </row>
    <row r="40" spans="1:10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"/>
      <c r="C41" s="2" t="s">
        <v>2</v>
      </c>
      <c r="D41" s="1"/>
      <c r="E41" s="1"/>
      <c r="F41" s="1"/>
      <c r="G41" s="1"/>
      <c r="H41" s="1"/>
      <c r="I41" s="1"/>
      <c r="J41" s="1"/>
    </row>
    <row r="42" spans="1:10" ht="15.75" thickBo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3"/>
      <c r="C43" s="14"/>
      <c r="D43" s="14"/>
      <c r="E43" s="15"/>
      <c r="F43" s="1"/>
      <c r="G43" s="1"/>
      <c r="H43" s="1"/>
      <c r="I43" s="1"/>
      <c r="J43" s="1"/>
    </row>
    <row r="44" spans="1:10" ht="15" x14ac:dyDescent="0.2">
      <c r="A44" s="1"/>
      <c r="B44" s="86"/>
      <c r="C44" s="17" t="s">
        <v>147</v>
      </c>
      <c r="D44" s="96">
        <f>D8*D14*(D13/100)</f>
        <v>42600000</v>
      </c>
      <c r="E44" s="18"/>
      <c r="F44" s="1"/>
      <c r="G44" s="1"/>
      <c r="H44" s="1"/>
      <c r="I44" s="1"/>
      <c r="J44" s="1"/>
    </row>
    <row r="45" spans="1:10" ht="15" x14ac:dyDescent="0.2">
      <c r="A45" s="1"/>
      <c r="B45" s="86"/>
      <c r="C45" s="17" t="s">
        <v>148</v>
      </c>
      <c r="D45" s="96">
        <f>(D22/100)*D17*D23</f>
        <v>87200000</v>
      </c>
      <c r="E45" s="18"/>
      <c r="F45" s="1"/>
      <c r="G45" s="1"/>
      <c r="H45" s="1"/>
      <c r="I45" s="1"/>
      <c r="J45" s="1"/>
    </row>
    <row r="46" spans="1:10" ht="15" x14ac:dyDescent="0.2">
      <c r="A46" s="1"/>
      <c r="B46" s="16"/>
      <c r="C46" s="17" t="s">
        <v>112</v>
      </c>
      <c r="D46" s="96">
        <f>D26*D28</f>
        <v>138700000</v>
      </c>
      <c r="E46" s="18"/>
      <c r="F46" s="1"/>
      <c r="G46" s="1"/>
      <c r="H46" s="1"/>
      <c r="I46" s="1"/>
      <c r="J46" s="1"/>
    </row>
    <row r="47" spans="1:10" ht="15" x14ac:dyDescent="0.2">
      <c r="A47" s="1"/>
      <c r="B47" s="16"/>
      <c r="C47" s="17" t="s">
        <v>113</v>
      </c>
      <c r="D47" s="130">
        <f>D31*D33</f>
        <v>11745000</v>
      </c>
      <c r="E47" s="18"/>
      <c r="F47" s="1"/>
      <c r="G47" s="1"/>
      <c r="H47" s="1"/>
      <c r="I47" s="1"/>
      <c r="J47" s="1"/>
    </row>
    <row r="48" spans="1:10" ht="15" x14ac:dyDescent="0.2">
      <c r="A48" s="1"/>
      <c r="B48" s="16"/>
      <c r="C48" s="17" t="s">
        <v>114</v>
      </c>
      <c r="D48" s="96">
        <f>SUM(D44:D47)</f>
        <v>280245000</v>
      </c>
      <c r="E48" s="18"/>
      <c r="F48" s="1"/>
      <c r="G48" s="1"/>
      <c r="H48" s="1"/>
      <c r="I48" s="1"/>
      <c r="J48" s="1"/>
    </row>
    <row r="49" spans="1:10" ht="15" x14ac:dyDescent="0.2">
      <c r="A49" s="1"/>
      <c r="B49" s="16"/>
      <c r="C49" s="17"/>
      <c r="D49" s="25"/>
      <c r="E49" s="18"/>
      <c r="F49" s="1"/>
      <c r="G49" s="1"/>
      <c r="H49" s="1"/>
      <c r="I49" s="1"/>
      <c r="J49" s="1"/>
    </row>
    <row r="50" spans="1:10" ht="15" x14ac:dyDescent="0.2">
      <c r="A50" s="1"/>
      <c r="B50" s="86"/>
      <c r="C50" s="17" t="s">
        <v>149</v>
      </c>
      <c r="D50" s="82">
        <f>YIELD(D9,D10,D11,D13,100,D12)</f>
        <v>4.3072194430375042E-2</v>
      </c>
      <c r="E50" s="18"/>
      <c r="F50" s="1"/>
      <c r="G50" s="246"/>
      <c r="H50" s="1"/>
      <c r="I50" s="1"/>
      <c r="J50" s="1"/>
    </row>
    <row r="51" spans="1:10" ht="15" x14ac:dyDescent="0.2">
      <c r="A51" s="1"/>
      <c r="B51" s="16"/>
      <c r="C51" s="17" t="s">
        <v>150</v>
      </c>
      <c r="D51" s="82">
        <f>D50*(1-D38)</f>
        <v>3.3165589711388783E-2</v>
      </c>
      <c r="E51" s="18"/>
      <c r="F51" s="1"/>
      <c r="G51" s="1"/>
      <c r="H51" s="1"/>
      <c r="I51" s="1"/>
      <c r="J51" s="1"/>
    </row>
    <row r="52" spans="1:10" ht="15" x14ac:dyDescent="0.2">
      <c r="A52" s="1"/>
      <c r="B52" s="16"/>
      <c r="C52" s="17"/>
      <c r="D52" s="25"/>
      <c r="E52" s="18"/>
      <c r="F52" s="1"/>
      <c r="G52" s="1"/>
      <c r="H52" s="1"/>
      <c r="I52" s="1"/>
      <c r="J52" s="1"/>
    </row>
    <row r="53" spans="1:10" ht="15" x14ac:dyDescent="0.2">
      <c r="A53" s="1"/>
      <c r="B53" s="16"/>
      <c r="C53" s="17" t="s">
        <v>151</v>
      </c>
      <c r="D53" s="82">
        <f>YIELD(D18,D19,D20,D22,100,+D21)</f>
        <v>5.1425363540554644E-2</v>
      </c>
      <c r="E53" s="18"/>
      <c r="F53" s="1"/>
      <c r="G53" s="246"/>
      <c r="H53" s="1"/>
      <c r="I53" s="1"/>
      <c r="J53" s="1"/>
    </row>
    <row r="54" spans="1:10" ht="15" x14ac:dyDescent="0.2">
      <c r="A54" s="1"/>
      <c r="B54" s="16"/>
      <c r="C54" s="17" t="s">
        <v>152</v>
      </c>
      <c r="D54" s="82">
        <f>D53*(1-D38)</f>
        <v>3.9597529926227081E-2</v>
      </c>
      <c r="E54" s="18"/>
      <c r="F54" s="1"/>
      <c r="G54" s="1"/>
      <c r="H54" s="1"/>
      <c r="I54" s="1"/>
      <c r="J54" s="1"/>
    </row>
    <row r="55" spans="1:10" ht="15" x14ac:dyDescent="0.2">
      <c r="A55" s="1"/>
      <c r="B55" s="16"/>
      <c r="C55" s="17"/>
      <c r="D55" s="91"/>
      <c r="E55" s="18"/>
      <c r="F55" s="1"/>
      <c r="G55" s="1"/>
      <c r="H55" s="1"/>
      <c r="I55" s="1"/>
      <c r="J55" s="1"/>
    </row>
    <row r="56" spans="1:10" ht="15" x14ac:dyDescent="0.2">
      <c r="A56" s="1"/>
      <c r="B56" s="16"/>
      <c r="C56" s="17" t="s">
        <v>4</v>
      </c>
      <c r="D56" s="82">
        <f>D37+(D27*D36)</f>
        <v>0.11649999999999999</v>
      </c>
      <c r="E56" s="18"/>
      <c r="F56" s="1"/>
      <c r="G56" s="1"/>
      <c r="H56" s="1"/>
      <c r="I56" s="1"/>
      <c r="J56" s="1"/>
    </row>
    <row r="57" spans="1:10" ht="15" x14ac:dyDescent="0.2">
      <c r="A57" s="1"/>
      <c r="B57" s="16"/>
      <c r="C57" s="17"/>
      <c r="D57" s="31"/>
      <c r="E57" s="18"/>
      <c r="F57" s="1"/>
      <c r="G57" s="1"/>
      <c r="H57" s="1"/>
      <c r="I57" s="1"/>
      <c r="J57" s="1"/>
    </row>
    <row r="58" spans="1:10" ht="15" x14ac:dyDescent="0.2">
      <c r="A58" s="1"/>
      <c r="B58" s="16"/>
      <c r="C58" s="17" t="s">
        <v>115</v>
      </c>
      <c r="D58" s="82">
        <f>(D32*100)/D33</f>
        <v>4.0229885057471271E-2</v>
      </c>
      <c r="E58" s="18"/>
      <c r="F58" s="1"/>
      <c r="G58" s="1"/>
      <c r="H58" s="1"/>
      <c r="I58" s="1"/>
      <c r="J58" s="1"/>
    </row>
    <row r="59" spans="1:10" ht="15" x14ac:dyDescent="0.2">
      <c r="A59" s="1"/>
      <c r="B59" s="16"/>
      <c r="C59" s="17"/>
      <c r="D59" s="31"/>
      <c r="E59" s="18"/>
      <c r="F59" s="1"/>
      <c r="G59" s="1"/>
      <c r="H59" s="1"/>
      <c r="I59" s="1"/>
      <c r="J59" s="1"/>
    </row>
    <row r="60" spans="1:10" ht="15.75" x14ac:dyDescent="0.25">
      <c r="A60" s="1"/>
      <c r="B60" s="16"/>
      <c r="C60" s="17" t="s">
        <v>29</v>
      </c>
      <c r="D60" s="22">
        <f>((D44/D48)*D51)+((D45/D48)*D54)+((D46/D48)*D56)+((D47/D48)*D58)</f>
        <v>7.67071980990639E-2</v>
      </c>
      <c r="E60" s="18"/>
      <c r="F60" s="1"/>
      <c r="G60" s="1"/>
      <c r="H60" s="1"/>
      <c r="I60" s="1"/>
      <c r="J60" s="1"/>
    </row>
    <row r="61" spans="1:10" ht="15.75" thickBot="1" x14ac:dyDescent="0.25">
      <c r="A61" s="1"/>
      <c r="B61" s="19"/>
      <c r="C61" s="20"/>
      <c r="D61" s="33"/>
      <c r="E61" s="2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  <ignoredErrors>
    <ignoredError sqref="D53:D54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42578125" style="149" customWidth="1"/>
    <col min="4" max="4" width="18.1406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182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61</v>
      </c>
      <c r="D7" s="107">
        <v>30000000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175</v>
      </c>
      <c r="D8" s="107">
        <v>1900000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176</v>
      </c>
      <c r="D9" s="108">
        <v>7.0000000000000007E-2</v>
      </c>
      <c r="E9" s="178"/>
      <c r="F9" s="179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177</v>
      </c>
      <c r="D10" s="108">
        <v>0.03</v>
      </c>
      <c r="E10" s="180"/>
      <c r="F10" s="50"/>
      <c r="G10" s="176"/>
      <c r="H10" s="147"/>
      <c r="I10" s="147"/>
      <c r="J10" s="147"/>
    </row>
    <row r="11" spans="1:10" ht="15.75" customHeight="1" thickBot="1" x14ac:dyDescent="0.25">
      <c r="A11" s="147"/>
      <c r="B11" s="160"/>
      <c r="C11" s="182"/>
      <c r="D11" s="183"/>
      <c r="E11" s="163"/>
      <c r="F11" s="176"/>
      <c r="G11" s="184"/>
      <c r="H11" s="185"/>
      <c r="I11" s="147"/>
      <c r="J11" s="147"/>
    </row>
    <row r="12" spans="1:10" ht="15.75" customHeight="1" x14ac:dyDescent="0.2">
      <c r="A12" s="147"/>
      <c r="B12" s="147"/>
      <c r="E12" s="147"/>
      <c r="F12" s="147"/>
      <c r="G12" s="147"/>
      <c r="H12" s="147"/>
      <c r="I12" s="147"/>
      <c r="J12" s="147"/>
    </row>
    <row r="13" spans="1:10" ht="15.75" customHeight="1" x14ac:dyDescent="0.2">
      <c r="A13" s="147"/>
      <c r="B13" s="147"/>
      <c r="C13" s="150" t="s">
        <v>2</v>
      </c>
      <c r="D13" s="147"/>
      <c r="E13" s="147"/>
      <c r="F13" s="147"/>
      <c r="G13" s="147"/>
      <c r="H13" s="147"/>
      <c r="I13" s="147"/>
      <c r="J13" s="147"/>
    </row>
    <row r="14" spans="1:10" ht="15.75" customHeight="1" thickBot="1" x14ac:dyDescent="0.25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.75" customHeight="1" x14ac:dyDescent="0.2">
      <c r="A15" s="147"/>
      <c r="B15" s="164"/>
      <c r="C15" s="165"/>
      <c r="D15" s="165"/>
      <c r="E15" s="166"/>
      <c r="F15" s="147"/>
      <c r="G15" s="147"/>
      <c r="H15" s="147"/>
      <c r="I15" s="147"/>
      <c r="J15" s="147"/>
    </row>
    <row r="16" spans="1:10" ht="15.75" customHeight="1" x14ac:dyDescent="0.2">
      <c r="A16" s="147"/>
      <c r="B16" s="186"/>
      <c r="C16" s="168" t="s">
        <v>178</v>
      </c>
      <c r="D16" s="192">
        <f>D7+D8</f>
        <v>31900000</v>
      </c>
      <c r="E16" s="170"/>
      <c r="F16" s="187"/>
      <c r="G16" s="147"/>
      <c r="H16" s="147"/>
      <c r="I16" s="147"/>
      <c r="J16" s="147"/>
    </row>
    <row r="17" spans="1:10" ht="15.75" customHeight="1" x14ac:dyDescent="0.2">
      <c r="A17" s="147"/>
      <c r="B17" s="186"/>
      <c r="C17" s="168" t="s">
        <v>179</v>
      </c>
      <c r="D17" s="124">
        <f>1-(D7/D16)</f>
        <v>5.9561128526645746E-2</v>
      </c>
      <c r="E17" s="170"/>
      <c r="F17" s="187"/>
      <c r="G17" s="147"/>
      <c r="H17" s="147"/>
      <c r="I17" s="147"/>
      <c r="J17" s="147"/>
    </row>
    <row r="18" spans="1:10" ht="15.75" customHeight="1" x14ac:dyDescent="0.25">
      <c r="A18" s="147"/>
      <c r="B18" s="186"/>
      <c r="C18" s="168" t="s">
        <v>33</v>
      </c>
      <c r="D18" s="193">
        <f>(D9-D17)/(D17-D10)</f>
        <v>0.3531283138918358</v>
      </c>
      <c r="E18" s="170"/>
      <c r="F18" s="187"/>
      <c r="G18" s="147"/>
      <c r="H18" s="147"/>
      <c r="I18" s="147"/>
      <c r="J18" s="147"/>
    </row>
    <row r="19" spans="1:10" ht="15.75" customHeight="1" thickBot="1" x14ac:dyDescent="0.25">
      <c r="A19" s="147"/>
      <c r="B19" s="189"/>
      <c r="C19" s="174"/>
      <c r="D19" s="190"/>
      <c r="E19" s="175"/>
      <c r="F19" s="147"/>
      <c r="G19" s="147"/>
      <c r="H19" s="147"/>
      <c r="I19" s="147"/>
      <c r="J19" s="147"/>
    </row>
    <row r="20" spans="1:10" ht="15.75" customHeight="1" x14ac:dyDescent="0.2">
      <c r="A20" s="147"/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ht="15.75" customHeight="1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ht="15.75" customHeight="1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0" ht="15.75" customHeight="1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</row>
    <row r="24" spans="1:10" ht="15.75" customHeight="1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ht="15.75" customHeight="1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ht="15.75" customHeight="1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.75" customHeight="1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.75" customHeight="1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.75" customHeight="1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1406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0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6</v>
      </c>
      <c r="D7" s="80">
        <v>0.95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7</v>
      </c>
      <c r="D8" s="81">
        <v>2.7E-2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</v>
      </c>
      <c r="D9" s="78">
        <v>0.1</v>
      </c>
      <c r="E9" s="7"/>
      <c r="F9" s="1"/>
      <c r="G9" s="1"/>
      <c r="H9" s="1"/>
      <c r="I9" s="1"/>
      <c r="J9" s="1"/>
    </row>
    <row r="10" spans="1:10" ht="15.75" customHeight="1" thickBot="1" x14ac:dyDescent="0.25">
      <c r="A10" s="1"/>
      <c r="B10" s="8"/>
      <c r="C10" s="12"/>
      <c r="D10" s="9"/>
      <c r="E10" s="10"/>
      <c r="F10" s="1"/>
      <c r="G10" s="1"/>
      <c r="H10" s="1"/>
      <c r="I10" s="1"/>
      <c r="J10" s="1"/>
    </row>
    <row r="11" spans="1:10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2" t="s">
        <v>2</v>
      </c>
      <c r="D12" s="1"/>
      <c r="E12" s="1"/>
      <c r="F12" s="1"/>
      <c r="G12" s="1"/>
      <c r="H12" s="1"/>
      <c r="I12" s="1"/>
      <c r="J12" s="1"/>
    </row>
    <row r="13" spans="1:10" ht="15.75" customHeight="1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3"/>
      <c r="C14" s="14"/>
      <c r="D14" s="14"/>
      <c r="E14" s="15"/>
      <c r="F14" s="1"/>
      <c r="G14" s="1"/>
      <c r="H14" s="1"/>
      <c r="I14" s="1"/>
      <c r="J14" s="1"/>
    </row>
    <row r="15" spans="1:10" ht="15.75" customHeight="1" x14ac:dyDescent="0.25">
      <c r="A15" s="1"/>
      <c r="B15" s="16"/>
      <c r="C15" s="17" t="s">
        <v>4</v>
      </c>
      <c r="D15" s="22">
        <f>D8+(D7*(D9-D8))</f>
        <v>9.6350000000000005E-2</v>
      </c>
      <c r="E15" s="18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9"/>
      <c r="C16" s="20"/>
      <c r="D16" s="20"/>
      <c r="E16" s="21"/>
      <c r="F16" s="1"/>
      <c r="G16" s="1"/>
      <c r="H16" s="1"/>
      <c r="I16" s="1"/>
      <c r="J16" s="1"/>
    </row>
    <row r="17" spans="1:10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3.140625" style="149" bestFit="1" customWidth="1"/>
    <col min="4" max="4" width="18.140625" style="149" customWidth="1"/>
    <col min="5" max="5" width="3.140625" style="149" customWidth="1"/>
    <col min="6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181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47"/>
      <c r="G6" s="147"/>
      <c r="H6" s="147"/>
      <c r="I6" s="147"/>
      <c r="J6" s="147"/>
    </row>
    <row r="7" spans="1:10" ht="15" x14ac:dyDescent="0.2">
      <c r="A7" s="147"/>
      <c r="B7" s="154"/>
      <c r="C7" s="155" t="s">
        <v>6</v>
      </c>
      <c r="D7" s="156">
        <v>1.1499999999999999</v>
      </c>
      <c r="E7" s="157"/>
      <c r="F7" s="147"/>
      <c r="G7" s="147"/>
      <c r="H7" s="147"/>
      <c r="I7" s="147"/>
      <c r="J7" s="147"/>
    </row>
    <row r="8" spans="1:10" ht="15" x14ac:dyDescent="0.2">
      <c r="A8" s="147"/>
      <c r="B8" s="154"/>
      <c r="C8" s="155" t="s">
        <v>160</v>
      </c>
      <c r="D8" s="158">
        <v>0.75</v>
      </c>
      <c r="E8" s="157"/>
      <c r="F8" s="147"/>
      <c r="G8" s="147"/>
      <c r="H8" s="147"/>
      <c r="I8" s="147"/>
      <c r="J8" s="147"/>
    </row>
    <row r="9" spans="1:10" ht="15" x14ac:dyDescent="0.2">
      <c r="A9" s="147"/>
      <c r="B9" s="154"/>
      <c r="C9" s="155" t="s">
        <v>3</v>
      </c>
      <c r="D9" s="159">
        <v>4.4999999999999998E-2</v>
      </c>
      <c r="E9" s="157"/>
      <c r="F9" s="147"/>
      <c r="G9" s="147"/>
      <c r="H9" s="147"/>
      <c r="I9" s="147"/>
      <c r="J9" s="147"/>
    </row>
    <row r="10" spans="1:10" ht="15" x14ac:dyDescent="0.2">
      <c r="A10" s="147"/>
      <c r="B10" s="154"/>
      <c r="C10" s="155" t="s">
        <v>8</v>
      </c>
      <c r="D10" s="159">
        <v>0.11</v>
      </c>
      <c r="E10" s="157"/>
      <c r="F10" s="147"/>
      <c r="G10" s="147"/>
      <c r="H10" s="147"/>
      <c r="I10" s="147"/>
      <c r="J10" s="147"/>
    </row>
    <row r="11" spans="1:10" ht="15" x14ac:dyDescent="0.2">
      <c r="A11" s="147"/>
      <c r="B11" s="154"/>
      <c r="C11" s="155" t="s">
        <v>10</v>
      </c>
      <c r="D11" s="159">
        <v>3.6999999999999998E-2</v>
      </c>
      <c r="E11" s="157"/>
      <c r="F11" s="147"/>
      <c r="G11" s="147"/>
      <c r="H11" s="147"/>
      <c r="I11" s="147"/>
      <c r="J11" s="147"/>
    </row>
    <row r="12" spans="1:10" ht="15" x14ac:dyDescent="0.2">
      <c r="A12" s="147"/>
      <c r="B12" s="154"/>
      <c r="C12" s="155" t="s">
        <v>161</v>
      </c>
      <c r="D12" s="158">
        <v>84</v>
      </c>
      <c r="E12" s="157"/>
      <c r="F12" s="147"/>
      <c r="G12" s="147"/>
      <c r="H12" s="147"/>
      <c r="I12" s="147"/>
      <c r="J12" s="147"/>
    </row>
    <row r="13" spans="1:10" ht="15.75" thickBot="1" x14ac:dyDescent="0.25">
      <c r="A13" s="147"/>
      <c r="B13" s="160"/>
      <c r="C13" s="161"/>
      <c r="D13" s="162"/>
      <c r="E13" s="163"/>
      <c r="F13" s="147"/>
      <c r="G13" s="147"/>
      <c r="H13" s="147"/>
      <c r="I13" s="147"/>
      <c r="J13" s="147"/>
    </row>
    <row r="14" spans="1:10" ht="15" x14ac:dyDescent="0.2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" x14ac:dyDescent="0.2">
      <c r="A15" s="147"/>
      <c r="B15" s="147"/>
      <c r="C15" s="150" t="s">
        <v>2</v>
      </c>
      <c r="D15" s="147"/>
      <c r="E15" s="147"/>
      <c r="F15" s="147"/>
      <c r="G15" s="147"/>
      <c r="H15" s="147"/>
      <c r="I15" s="147"/>
      <c r="J15" s="147"/>
    </row>
    <row r="16" spans="1:10" ht="15.75" thickBo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ht="15" x14ac:dyDescent="0.2">
      <c r="A17" s="147"/>
      <c r="B17" s="164"/>
      <c r="C17" s="165"/>
      <c r="D17" s="165"/>
      <c r="E17" s="166"/>
      <c r="F17" s="147"/>
      <c r="G17" s="147"/>
      <c r="H17" s="147"/>
      <c r="I17" s="147"/>
      <c r="J17" s="147"/>
    </row>
    <row r="18" spans="1:10" ht="19.5" x14ac:dyDescent="0.35">
      <c r="A18" s="147"/>
      <c r="B18" s="167" t="s">
        <v>84</v>
      </c>
      <c r="C18" s="168" t="s">
        <v>211</v>
      </c>
      <c r="D18" s="169">
        <f>(((D8*(1+D9))/D12)+D9)</f>
        <v>5.4330357142857139E-2</v>
      </c>
      <c r="E18" s="170"/>
      <c r="F18" s="147"/>
      <c r="G18" s="147"/>
      <c r="H18" s="147"/>
      <c r="I18" s="147"/>
      <c r="J18" s="147"/>
    </row>
    <row r="19" spans="1:10" ht="15" x14ac:dyDescent="0.2">
      <c r="A19" s="147"/>
      <c r="B19" s="167"/>
      <c r="C19" s="168"/>
      <c r="D19" s="171"/>
      <c r="E19" s="170"/>
      <c r="F19" s="147"/>
      <c r="G19" s="147"/>
      <c r="H19" s="147"/>
      <c r="I19" s="147"/>
      <c r="J19" s="147"/>
    </row>
    <row r="20" spans="1:10" ht="19.5" x14ac:dyDescent="0.35">
      <c r="A20" s="147"/>
      <c r="B20" s="167" t="s">
        <v>85</v>
      </c>
      <c r="C20" s="168" t="s">
        <v>162</v>
      </c>
      <c r="D20" s="169">
        <f>D11+(D7*(D10-D11))</f>
        <v>0.12095</v>
      </c>
      <c r="E20" s="170"/>
      <c r="F20" s="147"/>
      <c r="G20" s="147"/>
      <c r="H20" s="147"/>
      <c r="I20" s="147"/>
      <c r="J20" s="147"/>
    </row>
    <row r="21" spans="1:10" ht="15.75" x14ac:dyDescent="0.25">
      <c r="A21" s="147"/>
      <c r="B21" s="167"/>
      <c r="C21" s="168"/>
      <c r="D21" s="172"/>
      <c r="E21" s="170"/>
      <c r="F21" s="147"/>
      <c r="G21" s="147"/>
      <c r="H21" s="147"/>
      <c r="I21" s="147"/>
      <c r="J21" s="147"/>
    </row>
    <row r="22" spans="1:10" ht="15.75" x14ac:dyDescent="0.25">
      <c r="A22" s="147"/>
      <c r="B22" s="167" t="s">
        <v>86</v>
      </c>
      <c r="C22" s="168" t="s">
        <v>263</v>
      </c>
      <c r="D22" s="172"/>
      <c r="E22" s="170"/>
      <c r="F22" s="147"/>
      <c r="G22" s="147"/>
      <c r="H22" s="147"/>
      <c r="I22" s="147"/>
      <c r="J22" s="147"/>
    </row>
    <row r="23" spans="1:10" ht="15.75" x14ac:dyDescent="0.25">
      <c r="A23" s="147"/>
      <c r="B23" s="167"/>
      <c r="C23" s="168" t="s">
        <v>163</v>
      </c>
      <c r="D23" s="172"/>
      <c r="E23" s="170"/>
      <c r="F23" s="147"/>
      <c r="G23" s="147"/>
      <c r="H23" s="147"/>
      <c r="I23" s="147"/>
      <c r="J23" s="147"/>
    </row>
    <row r="24" spans="1:10" ht="15.75" x14ac:dyDescent="0.25">
      <c r="A24" s="147"/>
      <c r="B24" s="167"/>
      <c r="C24" s="168" t="s">
        <v>164</v>
      </c>
      <c r="D24" s="172"/>
      <c r="E24" s="170"/>
      <c r="F24" s="147"/>
      <c r="G24" s="147"/>
      <c r="H24" s="147"/>
      <c r="I24" s="147"/>
      <c r="J24" s="147"/>
    </row>
    <row r="25" spans="1:10" ht="15.75" x14ac:dyDescent="0.25">
      <c r="A25" s="147"/>
      <c r="B25" s="167"/>
      <c r="C25" s="168" t="s">
        <v>165</v>
      </c>
      <c r="D25" s="172"/>
      <c r="E25" s="170"/>
      <c r="F25" s="147"/>
      <c r="G25" s="147"/>
      <c r="H25" s="147"/>
      <c r="I25" s="147"/>
      <c r="J25" s="147"/>
    </row>
    <row r="26" spans="1:10" ht="15.75" x14ac:dyDescent="0.25">
      <c r="A26" s="147"/>
      <c r="B26" s="167"/>
      <c r="C26" s="168" t="s">
        <v>166</v>
      </c>
      <c r="D26" s="172"/>
      <c r="E26" s="170"/>
      <c r="F26" s="147"/>
      <c r="G26" s="147"/>
      <c r="H26" s="147"/>
      <c r="I26" s="147"/>
      <c r="J26" s="147"/>
    </row>
    <row r="27" spans="1:10" ht="15.75" x14ac:dyDescent="0.25">
      <c r="A27" s="147"/>
      <c r="B27" s="167"/>
      <c r="C27" s="168" t="s">
        <v>167</v>
      </c>
      <c r="D27" s="172"/>
      <c r="E27" s="170"/>
      <c r="F27" s="147"/>
      <c r="G27" s="147"/>
      <c r="H27" s="147"/>
      <c r="I27" s="147"/>
      <c r="J27" s="147"/>
    </row>
    <row r="28" spans="1:10" ht="15.75" thickBot="1" x14ac:dyDescent="0.25">
      <c r="A28" s="147"/>
      <c r="B28" s="173"/>
      <c r="C28" s="174"/>
      <c r="D28" s="174"/>
      <c r="E28" s="175"/>
      <c r="F28" s="147"/>
      <c r="G28" s="147"/>
      <c r="H28" s="147"/>
      <c r="I28" s="147"/>
      <c r="J28" s="147"/>
    </row>
    <row r="29" spans="1:10" ht="15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31.42578125" style="149" customWidth="1"/>
    <col min="4" max="4" width="19.425781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180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217</v>
      </c>
      <c r="D7" s="107">
        <v>7100000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218</v>
      </c>
      <c r="D8" s="108">
        <v>0.1</v>
      </c>
      <c r="E8" s="178"/>
      <c r="F8" s="179"/>
      <c r="G8" s="176"/>
      <c r="H8" s="147"/>
      <c r="I8" s="147"/>
      <c r="J8" s="147"/>
    </row>
    <row r="9" spans="1:10" ht="15" x14ac:dyDescent="0.2">
      <c r="A9" s="147"/>
      <c r="B9" s="154"/>
      <c r="C9" s="177" t="s">
        <v>226</v>
      </c>
      <c r="D9" s="108">
        <v>0.04</v>
      </c>
      <c r="E9" s="178"/>
      <c r="F9" s="179"/>
      <c r="G9" s="176"/>
      <c r="H9" s="147"/>
      <c r="I9" s="147"/>
      <c r="J9" s="147"/>
    </row>
    <row r="10" spans="1:10" ht="15" x14ac:dyDescent="0.2">
      <c r="A10" s="147"/>
      <c r="B10" s="154"/>
      <c r="C10" s="177" t="s">
        <v>227</v>
      </c>
      <c r="D10" s="108">
        <v>0.11</v>
      </c>
      <c r="E10" s="178"/>
      <c r="F10" s="179"/>
      <c r="G10" s="176"/>
      <c r="H10" s="147"/>
      <c r="I10" s="147"/>
      <c r="J10" s="147"/>
    </row>
    <row r="11" spans="1:10" ht="15" x14ac:dyDescent="0.2">
      <c r="A11" s="147"/>
      <c r="B11" s="154"/>
      <c r="C11" s="177" t="s">
        <v>228</v>
      </c>
      <c r="D11" s="108">
        <v>0.09</v>
      </c>
      <c r="E11" s="178"/>
      <c r="F11" s="179"/>
      <c r="G11" s="176"/>
      <c r="H11" s="147"/>
      <c r="I11" s="147"/>
      <c r="J11" s="147"/>
    </row>
    <row r="12" spans="1:10" ht="15" x14ac:dyDescent="0.2">
      <c r="A12" s="147"/>
      <c r="B12" s="154"/>
      <c r="C12" s="155" t="s">
        <v>42</v>
      </c>
      <c r="D12" s="208">
        <v>2500000</v>
      </c>
      <c r="E12" s="180"/>
      <c r="F12" s="50"/>
      <c r="G12" s="176"/>
      <c r="H12" s="147"/>
      <c r="I12" s="147"/>
      <c r="J12" s="147"/>
    </row>
    <row r="13" spans="1:10" ht="15" x14ac:dyDescent="0.2">
      <c r="A13" s="147"/>
      <c r="B13" s="154"/>
      <c r="C13" s="155" t="s">
        <v>233</v>
      </c>
      <c r="D13" s="107">
        <v>22000000</v>
      </c>
      <c r="E13" s="180"/>
      <c r="F13" s="50"/>
      <c r="G13" s="176"/>
      <c r="H13" s="147"/>
      <c r="I13" s="147"/>
      <c r="J13" s="147"/>
    </row>
    <row r="14" spans="1:10" ht="15.75" thickBot="1" x14ac:dyDescent="0.25">
      <c r="A14" s="147"/>
      <c r="B14" s="160"/>
      <c r="C14" s="182"/>
      <c r="D14" s="183"/>
      <c r="E14" s="163"/>
      <c r="F14" s="176"/>
      <c r="G14" s="184"/>
      <c r="H14" s="185"/>
      <c r="I14" s="147"/>
      <c r="J14" s="147"/>
    </row>
    <row r="15" spans="1:10" ht="15" x14ac:dyDescent="0.2">
      <c r="A15" s="147"/>
      <c r="B15" s="147"/>
      <c r="E15" s="147"/>
      <c r="F15" s="147"/>
      <c r="G15" s="147"/>
      <c r="H15" s="147"/>
      <c r="I15" s="147"/>
      <c r="J15" s="147"/>
    </row>
    <row r="16" spans="1:10" ht="15" x14ac:dyDescent="0.2">
      <c r="A16" s="147"/>
      <c r="B16" s="147"/>
      <c r="C16" s="150" t="s">
        <v>2</v>
      </c>
      <c r="D16" s="147"/>
      <c r="E16" s="147"/>
      <c r="F16" s="147"/>
      <c r="G16" s="147"/>
      <c r="H16" s="147"/>
      <c r="I16" s="147"/>
      <c r="J16" s="147"/>
    </row>
    <row r="17" spans="1:10" ht="15.75" thickBo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ht="15" x14ac:dyDescent="0.2">
      <c r="A18" s="147"/>
      <c r="B18" s="164"/>
      <c r="C18" s="165"/>
      <c r="D18" s="165"/>
      <c r="E18" s="166"/>
      <c r="F18" s="147"/>
      <c r="G18" s="147"/>
      <c r="H18" s="147"/>
    </row>
    <row r="19" spans="1:10" ht="15" x14ac:dyDescent="0.2">
      <c r="A19" s="147"/>
      <c r="B19" s="167"/>
      <c r="C19" s="230" t="s">
        <v>219</v>
      </c>
      <c r="D19" s="214"/>
      <c r="E19" s="170"/>
      <c r="F19" s="147"/>
      <c r="G19" s="147"/>
      <c r="H19" s="147"/>
    </row>
    <row r="20" spans="1:10" ht="15" x14ac:dyDescent="0.2">
      <c r="A20" s="147"/>
      <c r="B20" s="167"/>
      <c r="C20" s="168" t="s">
        <v>220</v>
      </c>
      <c r="D20" s="214">
        <f>D7*(1+D8)</f>
        <v>7810000.0000000009</v>
      </c>
      <c r="E20" s="170"/>
      <c r="F20" s="147"/>
      <c r="G20" s="147"/>
      <c r="H20" s="147"/>
    </row>
    <row r="21" spans="1:10" ht="15" x14ac:dyDescent="0.2">
      <c r="A21" s="147"/>
      <c r="B21" s="167"/>
      <c r="C21" s="168" t="s">
        <v>221</v>
      </c>
      <c r="D21" s="214">
        <f>D20*(1+$D$8)</f>
        <v>8591000.0000000019</v>
      </c>
      <c r="E21" s="170"/>
      <c r="F21" s="147"/>
      <c r="G21" s="147"/>
      <c r="H21" s="147"/>
    </row>
    <row r="22" spans="1:10" ht="15" x14ac:dyDescent="0.2">
      <c r="A22" s="147"/>
      <c r="B22" s="167"/>
      <c r="C22" s="168" t="s">
        <v>222</v>
      </c>
      <c r="D22" s="214">
        <f t="shared" ref="D22:D24" si="0">D21*(1+$D$8)</f>
        <v>9450100.0000000037</v>
      </c>
      <c r="E22" s="170"/>
      <c r="F22" s="147"/>
      <c r="G22" s="147"/>
      <c r="H22" s="147"/>
    </row>
    <row r="23" spans="1:10" ht="15" x14ac:dyDescent="0.2">
      <c r="A23" s="147"/>
      <c r="B23" s="167"/>
      <c r="C23" s="168" t="s">
        <v>223</v>
      </c>
      <c r="D23" s="214">
        <f t="shared" si="0"/>
        <v>10395110.000000006</v>
      </c>
      <c r="E23" s="170"/>
      <c r="F23" s="147"/>
      <c r="G23" s="147"/>
      <c r="H23" s="147"/>
    </row>
    <row r="24" spans="1:10" ht="15" x14ac:dyDescent="0.2">
      <c r="A24" s="147"/>
      <c r="B24" s="167"/>
      <c r="C24" s="168" t="s">
        <v>224</v>
      </c>
      <c r="D24" s="214">
        <f t="shared" si="0"/>
        <v>11434621.000000007</v>
      </c>
      <c r="E24" s="170"/>
      <c r="F24" s="147"/>
      <c r="G24" s="147"/>
      <c r="H24" s="147"/>
    </row>
    <row r="25" spans="1:10" ht="15" x14ac:dyDescent="0.2">
      <c r="A25" s="147"/>
      <c r="B25" s="167"/>
      <c r="C25" s="168" t="s">
        <v>225</v>
      </c>
      <c r="D25" s="214">
        <f>D24*(1+D9)</f>
        <v>11892005.840000007</v>
      </c>
      <c r="E25" s="170"/>
      <c r="F25" s="147"/>
      <c r="G25" s="147"/>
      <c r="H25" s="147"/>
    </row>
    <row r="26" spans="1:10" ht="15" x14ac:dyDescent="0.2">
      <c r="A26" s="147"/>
      <c r="B26" s="167"/>
      <c r="C26" s="168"/>
      <c r="D26" s="216"/>
      <c r="E26" s="170"/>
      <c r="F26" s="147"/>
      <c r="G26" s="147"/>
      <c r="H26" s="147"/>
    </row>
    <row r="27" spans="1:10" ht="15" x14ac:dyDescent="0.2">
      <c r="A27" s="147"/>
      <c r="B27" s="167"/>
      <c r="C27" s="168" t="s">
        <v>229</v>
      </c>
      <c r="D27" s="125">
        <f>D25/(D11-D9)</f>
        <v>237840116.80000016</v>
      </c>
      <c r="E27" s="170"/>
      <c r="F27" s="147"/>
      <c r="G27" s="147"/>
      <c r="H27" s="147"/>
    </row>
    <row r="28" spans="1:10" ht="15" x14ac:dyDescent="0.2">
      <c r="A28" s="147"/>
      <c r="B28" s="167"/>
      <c r="C28" s="168"/>
      <c r="D28" s="217"/>
      <c r="E28" s="170"/>
      <c r="F28" s="147"/>
      <c r="G28" s="147"/>
      <c r="H28" s="147"/>
    </row>
    <row r="29" spans="1:10" ht="15" x14ac:dyDescent="0.2">
      <c r="A29" s="147"/>
      <c r="B29" s="167"/>
      <c r="C29" s="168" t="s">
        <v>230</v>
      </c>
      <c r="D29" s="227">
        <f>NPV(D11,D20,D21,D22,D23,D24+D27)</f>
        <v>191068855.44506356</v>
      </c>
      <c r="E29" s="170"/>
      <c r="F29" s="147"/>
      <c r="G29" s="147"/>
      <c r="H29" s="147"/>
    </row>
    <row r="30" spans="1:10" ht="15" x14ac:dyDescent="0.2">
      <c r="A30" s="147"/>
      <c r="B30" s="167"/>
      <c r="C30" s="168"/>
      <c r="D30" s="227"/>
      <c r="E30" s="170"/>
      <c r="F30" s="147"/>
      <c r="G30" s="147"/>
      <c r="H30" s="147"/>
    </row>
    <row r="31" spans="1:10" ht="15" x14ac:dyDescent="0.2">
      <c r="A31" s="147"/>
      <c r="B31" s="167"/>
      <c r="C31" s="168" t="s">
        <v>234</v>
      </c>
      <c r="D31" s="227">
        <f>D29-D13</f>
        <v>169068855.44506356</v>
      </c>
      <c r="E31" s="170"/>
      <c r="F31" s="147"/>
      <c r="G31" s="147"/>
      <c r="H31" s="147"/>
    </row>
    <row r="32" spans="1:10" ht="15" x14ac:dyDescent="0.2">
      <c r="A32" s="147"/>
      <c r="B32" s="167"/>
      <c r="C32" s="168"/>
      <c r="D32" s="217"/>
      <c r="E32" s="170"/>
      <c r="F32" s="147"/>
      <c r="G32" s="147"/>
      <c r="H32" s="147"/>
    </row>
    <row r="33" spans="1:10" ht="15.75" x14ac:dyDescent="0.25">
      <c r="A33" s="147"/>
      <c r="B33" s="167"/>
      <c r="C33" s="168" t="s">
        <v>43</v>
      </c>
      <c r="D33" s="228">
        <f>D31/D12</f>
        <v>67.627542178025422</v>
      </c>
      <c r="E33" s="170"/>
      <c r="F33" s="147"/>
      <c r="G33" s="147"/>
      <c r="H33" s="147"/>
    </row>
    <row r="34" spans="1:10" ht="15.75" thickBot="1" x14ac:dyDescent="0.25">
      <c r="A34" s="147"/>
      <c r="B34" s="173"/>
      <c r="C34" s="174"/>
      <c r="D34" s="190"/>
      <c r="E34" s="175"/>
      <c r="F34" s="147"/>
      <c r="G34" s="147"/>
      <c r="H34" s="147"/>
    </row>
    <row r="35" spans="1:10" ht="15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  <row r="82" spans="1:10" ht="15" x14ac:dyDescent="0.2">
      <c r="A82" s="147"/>
      <c r="B82" s="147"/>
      <c r="C82" s="147"/>
      <c r="D82" s="147"/>
      <c r="E82" s="147"/>
      <c r="F82" s="147"/>
      <c r="G82" s="147"/>
      <c r="H82" s="147"/>
      <c r="I82" s="147"/>
      <c r="J82" s="147"/>
    </row>
    <row r="83" spans="1:10" ht="15" x14ac:dyDescent="0.2">
      <c r="A83" s="147"/>
      <c r="B83" s="147"/>
      <c r="C83" s="147"/>
      <c r="D83" s="147"/>
      <c r="E83" s="147"/>
      <c r="F83" s="147"/>
      <c r="G83" s="147"/>
      <c r="H83" s="147"/>
      <c r="I83" s="147"/>
      <c r="J83" s="147"/>
    </row>
    <row r="84" spans="1:10" ht="15" x14ac:dyDescent="0.2">
      <c r="A84" s="147"/>
      <c r="B84" s="147"/>
      <c r="C84" s="147"/>
      <c r="D84" s="147"/>
      <c r="E84" s="147"/>
      <c r="F84" s="147"/>
      <c r="G84" s="147"/>
      <c r="H84" s="147"/>
      <c r="I84" s="147"/>
      <c r="J84" s="147"/>
    </row>
    <row r="85" spans="1:10" ht="15" x14ac:dyDescent="0.2">
      <c r="A85" s="147"/>
      <c r="B85" s="147"/>
      <c r="C85" s="147"/>
      <c r="D85" s="147"/>
      <c r="E85" s="147"/>
      <c r="F85" s="147"/>
      <c r="G85" s="147"/>
      <c r="H85" s="147"/>
      <c r="I85" s="147"/>
      <c r="J85" s="147"/>
    </row>
    <row r="86" spans="1:10" ht="15" x14ac:dyDescent="0.2">
      <c r="A86" s="147"/>
      <c r="B86" s="147"/>
      <c r="C86" s="147"/>
      <c r="D86" s="147"/>
      <c r="E86" s="147"/>
      <c r="F86" s="147"/>
      <c r="G86" s="147"/>
      <c r="H86" s="147"/>
      <c r="I86" s="147"/>
      <c r="J86" s="147"/>
    </row>
    <row r="87" spans="1:10" ht="15" x14ac:dyDescent="0.2">
      <c r="A87" s="147"/>
      <c r="B87" s="147"/>
      <c r="C87" s="147"/>
      <c r="D87" s="147"/>
      <c r="E87" s="147"/>
      <c r="F87" s="147"/>
      <c r="G87" s="147"/>
      <c r="H87" s="147"/>
      <c r="I87" s="147"/>
      <c r="J87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1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31.28515625" style="149" customWidth="1"/>
    <col min="4" max="4" width="19.42578125" style="149" customWidth="1"/>
    <col min="5" max="5" width="16.85546875" style="149" bestFit="1" customWidth="1"/>
    <col min="6" max="6" width="18.140625" style="149" customWidth="1"/>
    <col min="7" max="8" width="16.85546875" style="149" bestFit="1" customWidth="1"/>
    <col min="9" max="9" width="3.140625" style="149" customWidth="1"/>
    <col min="10" max="16384" width="9.140625" style="149"/>
  </cols>
  <sheetData>
    <row r="1" spans="1:9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</row>
    <row r="2" spans="1:9" ht="15" x14ac:dyDescent="0.2">
      <c r="A2" s="147"/>
      <c r="B2" s="147"/>
      <c r="C2" s="147" t="s">
        <v>174</v>
      </c>
      <c r="D2" s="147"/>
      <c r="E2" s="147"/>
      <c r="F2" s="147"/>
      <c r="G2" s="147"/>
      <c r="H2" s="147"/>
      <c r="I2" s="147"/>
    </row>
    <row r="3" spans="1:9" ht="15" x14ac:dyDescent="0.2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</row>
    <row r="5" spans="1:9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</row>
    <row r="6" spans="1:9" ht="15" x14ac:dyDescent="0.2">
      <c r="A6" s="147"/>
      <c r="B6" s="151"/>
      <c r="C6" s="152"/>
      <c r="D6" s="152"/>
      <c r="E6" s="153"/>
      <c r="F6" s="176"/>
      <c r="G6" s="147"/>
      <c r="H6" s="147"/>
      <c r="I6" s="147"/>
    </row>
    <row r="7" spans="1:9" ht="15" x14ac:dyDescent="0.2">
      <c r="A7" s="147"/>
      <c r="B7" s="154"/>
      <c r="C7" s="245" t="s">
        <v>250</v>
      </c>
      <c r="D7" s="231"/>
      <c r="E7" s="157"/>
      <c r="F7" s="176"/>
      <c r="G7" s="147"/>
      <c r="H7" s="147"/>
      <c r="I7" s="147"/>
    </row>
    <row r="8" spans="1:9" ht="15" x14ac:dyDescent="0.2">
      <c r="A8" s="147"/>
      <c r="B8" s="154"/>
      <c r="C8" s="209" t="s">
        <v>240</v>
      </c>
      <c r="D8" s="107">
        <v>115000000</v>
      </c>
      <c r="E8" s="157"/>
      <c r="F8" s="176"/>
      <c r="G8" s="147"/>
      <c r="H8" s="147"/>
      <c r="I8" s="147"/>
    </row>
    <row r="9" spans="1:9" ht="15" x14ac:dyDescent="0.2">
      <c r="A9" s="147"/>
      <c r="B9" s="154"/>
      <c r="C9" s="209" t="s">
        <v>28</v>
      </c>
      <c r="D9" s="233">
        <v>0.06</v>
      </c>
      <c r="E9" s="157"/>
      <c r="F9" s="176"/>
      <c r="G9" s="147"/>
      <c r="H9" s="147"/>
      <c r="I9" s="147"/>
    </row>
    <row r="10" spans="1:9" ht="15" x14ac:dyDescent="0.2">
      <c r="A10" s="147"/>
      <c r="B10" s="154"/>
      <c r="C10" s="209" t="s">
        <v>241</v>
      </c>
      <c r="D10" s="232">
        <v>360000000</v>
      </c>
      <c r="E10" s="157"/>
      <c r="F10" s="176"/>
      <c r="G10" s="147"/>
      <c r="H10" s="147"/>
      <c r="I10" s="147"/>
    </row>
    <row r="11" spans="1:9" ht="15" x14ac:dyDescent="0.2">
      <c r="A11" s="147"/>
      <c r="B11" s="154"/>
      <c r="C11" s="209" t="s">
        <v>4</v>
      </c>
      <c r="D11" s="233">
        <v>0.11</v>
      </c>
      <c r="E11" s="157"/>
      <c r="F11" s="176"/>
      <c r="G11" s="147"/>
      <c r="H11" s="147"/>
      <c r="I11" s="147"/>
    </row>
    <row r="12" spans="1:9" ht="15" x14ac:dyDescent="0.2">
      <c r="A12" s="147"/>
      <c r="B12" s="154"/>
      <c r="C12" s="245" t="s">
        <v>252</v>
      </c>
      <c r="D12" s="231"/>
      <c r="E12" s="157"/>
      <c r="F12" s="176"/>
      <c r="G12" s="147"/>
      <c r="H12" s="147"/>
      <c r="I12" s="147"/>
    </row>
    <row r="13" spans="1:9" ht="15" x14ac:dyDescent="0.2">
      <c r="A13" s="147"/>
      <c r="B13" s="154"/>
      <c r="C13" s="177" t="s">
        <v>233</v>
      </c>
      <c r="D13" s="107">
        <v>45000000</v>
      </c>
      <c r="E13" s="178"/>
      <c r="F13" s="179"/>
      <c r="G13" s="147"/>
      <c r="H13" s="147"/>
      <c r="I13" s="147"/>
    </row>
    <row r="14" spans="1:9" ht="15" x14ac:dyDescent="0.2">
      <c r="A14" s="147"/>
      <c r="B14" s="154"/>
      <c r="C14" s="209" t="s">
        <v>246</v>
      </c>
      <c r="D14" s="107">
        <v>17300000</v>
      </c>
      <c r="E14" s="157"/>
      <c r="F14" s="176"/>
      <c r="G14" s="147"/>
      <c r="H14" s="147"/>
      <c r="I14" s="147"/>
    </row>
    <row r="15" spans="1:9" ht="15" x14ac:dyDescent="0.2">
      <c r="A15" s="147"/>
      <c r="B15" s="154"/>
      <c r="C15" s="177" t="s">
        <v>237</v>
      </c>
      <c r="D15" s="108">
        <v>0.1</v>
      </c>
      <c r="E15" s="178"/>
      <c r="F15" s="179"/>
      <c r="G15" s="147"/>
      <c r="H15" s="147"/>
      <c r="I15" s="147"/>
    </row>
    <row r="16" spans="1:9" ht="15" x14ac:dyDescent="0.2">
      <c r="A16" s="147"/>
      <c r="B16" s="154"/>
      <c r="C16" s="209" t="s">
        <v>236</v>
      </c>
      <c r="D16" s="144">
        <v>0.03</v>
      </c>
      <c r="E16" s="180"/>
      <c r="F16" s="50"/>
      <c r="G16" s="147"/>
      <c r="H16" s="147"/>
      <c r="I16" s="147"/>
    </row>
    <row r="17" spans="1:11" ht="15" x14ac:dyDescent="0.2">
      <c r="A17" s="147"/>
      <c r="B17" s="154"/>
      <c r="C17" s="177" t="s">
        <v>238</v>
      </c>
      <c r="D17" s="108">
        <v>0.09</v>
      </c>
      <c r="E17" s="178"/>
      <c r="F17" s="179"/>
      <c r="G17" s="147"/>
      <c r="H17" s="147"/>
      <c r="I17" s="147"/>
    </row>
    <row r="18" spans="1:11" ht="15" x14ac:dyDescent="0.2">
      <c r="A18" s="147"/>
      <c r="B18" s="154"/>
      <c r="C18" s="177" t="s">
        <v>239</v>
      </c>
      <c r="D18" s="108">
        <v>0.15</v>
      </c>
      <c r="E18" s="178"/>
      <c r="F18" s="179"/>
      <c r="G18" s="147"/>
      <c r="H18" s="147"/>
      <c r="I18" s="147"/>
    </row>
    <row r="19" spans="1:11" ht="15" x14ac:dyDescent="0.2">
      <c r="A19" s="147"/>
      <c r="B19" s="154"/>
      <c r="C19" s="155" t="s">
        <v>235</v>
      </c>
      <c r="D19" s="144">
        <v>0.08</v>
      </c>
      <c r="E19" s="180"/>
      <c r="F19" s="50"/>
      <c r="G19" s="147"/>
      <c r="H19" s="147"/>
      <c r="I19" s="147"/>
    </row>
    <row r="20" spans="1:11" ht="15" x14ac:dyDescent="0.2">
      <c r="A20" s="147"/>
      <c r="B20" s="154"/>
      <c r="C20" s="177" t="s">
        <v>42</v>
      </c>
      <c r="D20" s="226">
        <v>1950000</v>
      </c>
      <c r="E20" s="178"/>
      <c r="F20" s="179"/>
      <c r="G20" s="147"/>
      <c r="H20" s="147"/>
      <c r="I20" s="147"/>
    </row>
    <row r="21" spans="1:11" ht="15" x14ac:dyDescent="0.2">
      <c r="A21" s="147"/>
      <c r="B21" s="154"/>
      <c r="C21" s="209" t="s">
        <v>14</v>
      </c>
      <c r="D21" s="233">
        <v>0.21</v>
      </c>
      <c r="E21" s="157"/>
      <c r="F21" s="176"/>
      <c r="G21" s="147"/>
      <c r="H21" s="147"/>
      <c r="I21" s="147"/>
    </row>
    <row r="22" spans="1:11" ht="15" x14ac:dyDescent="0.2">
      <c r="A22" s="147"/>
      <c r="B22" s="154"/>
      <c r="C22" s="209"/>
      <c r="D22" s="144"/>
      <c r="E22" s="180"/>
      <c r="F22" s="50"/>
      <c r="G22" s="147"/>
      <c r="H22" s="147"/>
      <c r="I22" s="147"/>
    </row>
    <row r="23" spans="1:11" ht="15" x14ac:dyDescent="0.2">
      <c r="A23" s="147"/>
      <c r="B23" s="213" t="s">
        <v>85</v>
      </c>
      <c r="C23" s="209" t="s">
        <v>231</v>
      </c>
      <c r="D23" s="244">
        <v>9</v>
      </c>
      <c r="E23" s="180"/>
      <c r="F23" s="50"/>
      <c r="G23" s="147"/>
      <c r="H23" s="147"/>
      <c r="I23" s="147"/>
    </row>
    <row r="24" spans="1:11" ht="15.75" thickBot="1" x14ac:dyDescent="0.25">
      <c r="A24" s="147"/>
      <c r="B24" s="160"/>
      <c r="C24" s="182"/>
      <c r="D24" s="183"/>
      <c r="E24" s="163"/>
      <c r="F24" s="176"/>
      <c r="G24" s="185"/>
      <c r="H24" s="147"/>
      <c r="I24" s="147"/>
    </row>
    <row r="25" spans="1:11" ht="15" x14ac:dyDescent="0.2">
      <c r="A25" s="147"/>
      <c r="B25" s="147"/>
      <c r="E25" s="147"/>
      <c r="F25" s="147"/>
      <c r="G25" s="147"/>
      <c r="H25" s="147"/>
      <c r="I25" s="147"/>
    </row>
    <row r="26" spans="1:11" ht="15" x14ac:dyDescent="0.2">
      <c r="A26" s="147"/>
      <c r="B26" s="147"/>
      <c r="C26" s="150" t="s">
        <v>2</v>
      </c>
      <c r="D26" s="147"/>
      <c r="E26" s="147"/>
      <c r="F26" s="147"/>
      <c r="G26" s="147"/>
      <c r="H26" s="147"/>
      <c r="I26" s="147"/>
    </row>
    <row r="27" spans="1:11" ht="15.75" thickBot="1" x14ac:dyDescent="0.25">
      <c r="A27" s="147"/>
      <c r="B27" s="147"/>
      <c r="C27" s="147"/>
      <c r="D27" s="147"/>
      <c r="E27" s="147"/>
      <c r="F27" s="147"/>
      <c r="G27" s="147"/>
      <c r="H27" s="147"/>
      <c r="I27" s="147"/>
    </row>
    <row r="28" spans="1:11" ht="15" x14ac:dyDescent="0.2">
      <c r="A28" s="147"/>
      <c r="B28" s="164"/>
      <c r="C28" s="165"/>
      <c r="D28" s="165"/>
      <c r="E28" s="165"/>
      <c r="F28" s="165"/>
      <c r="G28" s="165"/>
      <c r="H28" s="165"/>
      <c r="I28" s="166"/>
      <c r="J28" s="147"/>
      <c r="K28" s="147"/>
    </row>
    <row r="29" spans="1:11" ht="15" x14ac:dyDescent="0.2">
      <c r="A29" s="147"/>
      <c r="B29" s="186"/>
      <c r="C29" s="168" t="s">
        <v>242</v>
      </c>
      <c r="D29" s="234">
        <f>D8/(D8+D10)</f>
        <v>0.24210526315789474</v>
      </c>
      <c r="E29" s="234"/>
      <c r="F29" s="234"/>
      <c r="G29" s="234"/>
      <c r="H29" s="234"/>
      <c r="I29" s="170"/>
      <c r="J29" s="147"/>
      <c r="K29" s="147"/>
    </row>
    <row r="30" spans="1:11" ht="15" x14ac:dyDescent="0.2">
      <c r="A30" s="147"/>
      <c r="B30" s="186"/>
      <c r="C30" s="168" t="s">
        <v>243</v>
      </c>
      <c r="D30" s="234">
        <f>D10/(D8+D10)</f>
        <v>0.75789473684210529</v>
      </c>
      <c r="E30" s="234"/>
      <c r="F30" s="234"/>
      <c r="G30" s="234"/>
      <c r="H30" s="234"/>
      <c r="I30" s="170"/>
      <c r="J30" s="147"/>
      <c r="K30" s="147"/>
    </row>
    <row r="31" spans="1:11" ht="15" x14ac:dyDescent="0.2">
      <c r="A31" s="147"/>
      <c r="B31" s="167"/>
      <c r="C31" s="168" t="s">
        <v>29</v>
      </c>
      <c r="D31" s="124">
        <f>(D29*D9*(1-D21))+(D11*D30)</f>
        <v>9.4844210526315795E-2</v>
      </c>
      <c r="E31" s="124"/>
      <c r="F31" s="124"/>
      <c r="G31" s="124"/>
      <c r="H31" s="124"/>
      <c r="I31" s="170"/>
      <c r="J31" s="147"/>
      <c r="K31" s="147"/>
    </row>
    <row r="32" spans="1:11" ht="15" x14ac:dyDescent="0.2">
      <c r="A32" s="147"/>
      <c r="B32" s="167"/>
      <c r="C32" s="168"/>
      <c r="D32" s="214"/>
      <c r="E32" s="214"/>
      <c r="F32" s="214"/>
      <c r="G32" s="214"/>
      <c r="H32" s="214"/>
      <c r="I32" s="170"/>
      <c r="J32" s="147"/>
      <c r="K32" s="147"/>
    </row>
    <row r="33" spans="1:13" ht="15" x14ac:dyDescent="0.2">
      <c r="A33" s="147"/>
      <c r="B33" s="167"/>
      <c r="C33" s="168"/>
      <c r="D33" s="238" t="s">
        <v>220</v>
      </c>
      <c r="E33" s="238" t="s">
        <v>221</v>
      </c>
      <c r="F33" s="238" t="s">
        <v>222</v>
      </c>
      <c r="G33" s="238" t="s">
        <v>223</v>
      </c>
      <c r="H33" s="238" t="s">
        <v>224</v>
      </c>
      <c r="I33" s="236"/>
      <c r="J33" s="150"/>
      <c r="K33" s="150"/>
      <c r="L33" s="237"/>
      <c r="M33" s="237"/>
    </row>
    <row r="34" spans="1:13" ht="15" x14ac:dyDescent="0.2">
      <c r="A34" s="147"/>
      <c r="B34" s="167"/>
      <c r="C34" s="168" t="s">
        <v>132</v>
      </c>
      <c r="D34" s="214">
        <f>D14</f>
        <v>17300000</v>
      </c>
      <c r="E34" s="214">
        <f>D34*(1+$D$15)</f>
        <v>19030000</v>
      </c>
      <c r="F34" s="214">
        <f t="shared" ref="F34:H34" si="0">E34*(1+$D$15)</f>
        <v>20933000</v>
      </c>
      <c r="G34" s="214">
        <f t="shared" si="0"/>
        <v>23026300</v>
      </c>
      <c r="H34" s="214">
        <f t="shared" si="0"/>
        <v>25328930.000000004</v>
      </c>
      <c r="I34" s="170"/>
      <c r="J34" s="147"/>
      <c r="K34" s="147"/>
    </row>
    <row r="35" spans="1:13" ht="15" x14ac:dyDescent="0.2">
      <c r="A35" s="147"/>
      <c r="B35" s="167"/>
      <c r="C35" s="168" t="s">
        <v>254</v>
      </c>
      <c r="D35" s="242">
        <f>D34*$D$21</f>
        <v>3633000</v>
      </c>
      <c r="E35" s="242">
        <f>E34*$D$21</f>
        <v>3996300</v>
      </c>
      <c r="F35" s="242">
        <f>F34*$D$21</f>
        <v>4395930</v>
      </c>
      <c r="G35" s="242">
        <f>G34*$D$21</f>
        <v>4835523</v>
      </c>
      <c r="H35" s="242">
        <f>H34*$D$21</f>
        <v>5319075.3000000007</v>
      </c>
      <c r="I35" s="170"/>
      <c r="J35" s="147"/>
      <c r="K35" s="147"/>
    </row>
    <row r="36" spans="1:13" ht="15" x14ac:dyDescent="0.2">
      <c r="A36" s="147"/>
      <c r="B36" s="167"/>
      <c r="C36" s="168" t="s">
        <v>134</v>
      </c>
      <c r="D36" s="240">
        <f>D34-D35</f>
        <v>13667000</v>
      </c>
      <c r="E36" s="240">
        <f t="shared" ref="E36:H36" si="1">E34-E35</f>
        <v>15033700</v>
      </c>
      <c r="F36" s="240">
        <f t="shared" si="1"/>
        <v>16537070</v>
      </c>
      <c r="G36" s="240">
        <f t="shared" si="1"/>
        <v>18190777</v>
      </c>
      <c r="H36" s="240">
        <f t="shared" si="1"/>
        <v>20009854.700000003</v>
      </c>
      <c r="I36" s="170"/>
      <c r="J36" s="147"/>
      <c r="K36" s="147"/>
    </row>
    <row r="37" spans="1:13" ht="15" x14ac:dyDescent="0.2">
      <c r="A37" s="147"/>
      <c r="B37" s="167"/>
      <c r="C37" s="235" t="s">
        <v>131</v>
      </c>
      <c r="D37" s="240">
        <f>D34*$D$19</f>
        <v>1384000</v>
      </c>
      <c r="E37" s="240">
        <f t="shared" ref="E37:H37" si="2">E34*$D$19</f>
        <v>1522400</v>
      </c>
      <c r="F37" s="240">
        <f t="shared" si="2"/>
        <v>1674640</v>
      </c>
      <c r="G37" s="240">
        <f t="shared" si="2"/>
        <v>1842104</v>
      </c>
      <c r="H37" s="240">
        <f t="shared" si="2"/>
        <v>2026314.4000000004</v>
      </c>
      <c r="I37" s="170"/>
      <c r="J37" s="147"/>
      <c r="K37" s="147"/>
    </row>
    <row r="38" spans="1:13" ht="15" x14ac:dyDescent="0.2">
      <c r="A38" s="147"/>
      <c r="B38" s="167"/>
      <c r="C38" s="235"/>
      <c r="D38" s="240"/>
      <c r="E38" s="240"/>
      <c r="F38" s="240"/>
      <c r="G38" s="240"/>
      <c r="H38" s="240"/>
      <c r="I38" s="170"/>
      <c r="J38" s="147"/>
      <c r="K38" s="147"/>
    </row>
    <row r="39" spans="1:13" ht="15" x14ac:dyDescent="0.2">
      <c r="A39" s="147"/>
      <c r="B39" s="167"/>
      <c r="C39" s="235" t="s">
        <v>251</v>
      </c>
      <c r="D39" s="214">
        <f>D34+D37-D35</f>
        <v>15051000</v>
      </c>
      <c r="E39" s="214">
        <f t="shared" ref="E39:H39" si="3">E34+E37-E35</f>
        <v>16556100</v>
      </c>
      <c r="F39" s="214">
        <f t="shared" si="3"/>
        <v>18211710</v>
      </c>
      <c r="G39" s="214">
        <f t="shared" si="3"/>
        <v>20032881</v>
      </c>
      <c r="H39" s="214">
        <f t="shared" si="3"/>
        <v>22036169.100000005</v>
      </c>
      <c r="I39" s="170"/>
      <c r="J39" s="147"/>
      <c r="K39" s="147"/>
    </row>
    <row r="40" spans="1:13" ht="15" x14ac:dyDescent="0.2">
      <c r="A40" s="147"/>
      <c r="B40" s="167"/>
      <c r="C40" s="235" t="s">
        <v>244</v>
      </c>
      <c r="D40" s="240">
        <f>D34*$D$18</f>
        <v>2595000</v>
      </c>
      <c r="E40" s="240">
        <f t="shared" ref="E40:H40" si="4">E34*$D$18</f>
        <v>2854500</v>
      </c>
      <c r="F40" s="240">
        <f t="shared" si="4"/>
        <v>3139950</v>
      </c>
      <c r="G40" s="240">
        <f t="shared" si="4"/>
        <v>3453945</v>
      </c>
      <c r="H40" s="240">
        <f t="shared" si="4"/>
        <v>3799339.5000000005</v>
      </c>
      <c r="I40" s="170"/>
      <c r="J40" s="147"/>
      <c r="K40" s="147"/>
    </row>
    <row r="41" spans="1:13" ht="15" x14ac:dyDescent="0.2">
      <c r="A41" s="147"/>
      <c r="B41" s="167"/>
      <c r="C41" s="235" t="s">
        <v>245</v>
      </c>
      <c r="D41" s="241">
        <f>D34*$D$17</f>
        <v>1557000</v>
      </c>
      <c r="E41" s="241">
        <f t="shared" ref="E41:H41" si="5">E34*$D$17</f>
        <v>1712700</v>
      </c>
      <c r="F41" s="241">
        <f t="shared" si="5"/>
        <v>1883970</v>
      </c>
      <c r="G41" s="241">
        <f t="shared" si="5"/>
        <v>2072367</v>
      </c>
      <c r="H41" s="241">
        <f t="shared" si="5"/>
        <v>2279603.7000000002</v>
      </c>
      <c r="I41" s="170"/>
      <c r="J41" s="147"/>
      <c r="K41" s="147"/>
    </row>
    <row r="42" spans="1:13" ht="15" x14ac:dyDescent="0.2">
      <c r="A42" s="147"/>
      <c r="B42" s="167"/>
      <c r="C42" s="168" t="s">
        <v>255</v>
      </c>
      <c r="D42" s="214">
        <f>D39-D40-D41</f>
        <v>10899000</v>
      </c>
      <c r="E42" s="214">
        <f t="shared" ref="E42:H42" si="6">E39-E40-E41</f>
        <v>11988900</v>
      </c>
      <c r="F42" s="214">
        <f t="shared" si="6"/>
        <v>13187790</v>
      </c>
      <c r="G42" s="214">
        <f t="shared" si="6"/>
        <v>14506569</v>
      </c>
      <c r="H42" s="214">
        <f t="shared" si="6"/>
        <v>15957225.900000006</v>
      </c>
      <c r="I42" s="170"/>
      <c r="J42" s="147"/>
      <c r="K42" s="147"/>
    </row>
    <row r="43" spans="1:13" ht="15" x14ac:dyDescent="0.2">
      <c r="A43" s="147"/>
      <c r="B43" s="167"/>
      <c r="C43" s="168"/>
      <c r="D43" s="217"/>
      <c r="E43" s="217"/>
      <c r="F43" s="217"/>
      <c r="G43" s="217"/>
      <c r="H43" s="217"/>
      <c r="I43" s="170"/>
      <c r="J43" s="147"/>
      <c r="K43" s="147"/>
    </row>
    <row r="44" spans="1:13" ht="15" x14ac:dyDescent="0.2">
      <c r="A44" s="147"/>
      <c r="B44" s="167"/>
      <c r="C44" s="168" t="s">
        <v>247</v>
      </c>
      <c r="D44" s="128">
        <f>(H42*(1+D16))/(D31-D16)</f>
        <v>253468159.2018117</v>
      </c>
      <c r="E44" s="128"/>
      <c r="F44" s="128"/>
      <c r="G44" s="128"/>
      <c r="H44" s="128"/>
      <c r="I44" s="170"/>
      <c r="J44" s="147"/>
      <c r="K44" s="147"/>
    </row>
    <row r="45" spans="1:13" ht="15" x14ac:dyDescent="0.2">
      <c r="A45" s="147"/>
      <c r="B45" s="167"/>
      <c r="C45" s="168"/>
      <c r="D45" s="225"/>
      <c r="E45" s="225"/>
      <c r="F45" s="225"/>
      <c r="G45" s="225"/>
      <c r="H45" s="225"/>
      <c r="I45" s="170"/>
      <c r="J45" s="147"/>
      <c r="K45" s="147"/>
    </row>
    <row r="46" spans="1:13" ht="15" x14ac:dyDescent="0.2">
      <c r="A46" s="147"/>
      <c r="B46" s="167"/>
      <c r="C46" s="168" t="s">
        <v>230</v>
      </c>
      <c r="D46" s="192">
        <f>NPV(D31,D42,E42,F42,G42,H42+D44)</f>
        <v>211369779.54457089</v>
      </c>
      <c r="E46" s="225"/>
      <c r="F46" s="225"/>
      <c r="G46" s="225"/>
      <c r="H46" s="225"/>
      <c r="I46" s="170"/>
      <c r="J46" s="147"/>
      <c r="K46" s="147"/>
    </row>
    <row r="47" spans="1:13" ht="15" x14ac:dyDescent="0.2">
      <c r="A47" s="147"/>
      <c r="B47" s="167"/>
      <c r="C47" s="168"/>
      <c r="D47" s="243"/>
      <c r="E47" s="225"/>
      <c r="F47" s="225"/>
      <c r="G47" s="225"/>
      <c r="H47" s="225"/>
      <c r="I47" s="170"/>
      <c r="J47" s="147"/>
      <c r="K47" s="147"/>
    </row>
    <row r="48" spans="1:13" ht="15" x14ac:dyDescent="0.2">
      <c r="A48" s="147"/>
      <c r="B48" s="167"/>
      <c r="C48" s="168" t="s">
        <v>248</v>
      </c>
      <c r="D48" s="192">
        <f>D46-D13</f>
        <v>166369779.54457089</v>
      </c>
      <c r="E48" s="225"/>
      <c r="F48" s="225"/>
      <c r="G48" s="225"/>
      <c r="H48" s="225"/>
      <c r="I48" s="170"/>
      <c r="J48" s="147"/>
      <c r="K48" s="147"/>
    </row>
    <row r="49" spans="1:11" ht="15" x14ac:dyDescent="0.2">
      <c r="A49" s="147"/>
      <c r="B49" s="167"/>
      <c r="C49" s="168"/>
      <c r="D49" s="243"/>
      <c r="E49" s="225"/>
      <c r="F49" s="225"/>
      <c r="G49" s="225"/>
      <c r="H49" s="225"/>
      <c r="I49" s="170"/>
      <c r="J49" s="147"/>
      <c r="K49" s="147"/>
    </row>
    <row r="50" spans="1:11" ht="15.75" x14ac:dyDescent="0.25">
      <c r="A50" s="147"/>
      <c r="B50" s="167"/>
      <c r="C50" s="168" t="s">
        <v>43</v>
      </c>
      <c r="D50" s="228">
        <f>D48/D20</f>
        <v>85.317835663882505</v>
      </c>
      <c r="E50" s="239"/>
      <c r="F50" s="239"/>
      <c r="G50" s="214"/>
      <c r="H50" s="239"/>
      <c r="I50" s="170"/>
      <c r="J50" s="147"/>
      <c r="K50" s="147"/>
    </row>
    <row r="51" spans="1:11" ht="15" x14ac:dyDescent="0.2">
      <c r="A51" s="147"/>
      <c r="B51" s="167"/>
      <c r="C51" s="168"/>
      <c r="D51" s="214"/>
      <c r="E51" s="214"/>
      <c r="F51" s="214"/>
      <c r="G51" s="214"/>
      <c r="H51" s="214"/>
      <c r="I51" s="170"/>
      <c r="J51" s="147"/>
      <c r="K51" s="147"/>
    </row>
    <row r="52" spans="1:11" ht="15" x14ac:dyDescent="0.2">
      <c r="A52" s="147"/>
      <c r="B52" s="167" t="s">
        <v>85</v>
      </c>
      <c r="C52" s="168" t="s">
        <v>249</v>
      </c>
      <c r="D52" s="214">
        <f>H34+H37</f>
        <v>27355244.400000006</v>
      </c>
      <c r="E52" s="171"/>
      <c r="F52" s="171"/>
      <c r="G52" s="171"/>
      <c r="H52" s="171"/>
      <c r="I52" s="170"/>
      <c r="J52" s="147"/>
      <c r="K52" s="147"/>
    </row>
    <row r="53" spans="1:11" ht="15" x14ac:dyDescent="0.2">
      <c r="A53" s="147"/>
      <c r="B53" s="167"/>
      <c r="C53" s="168"/>
      <c r="D53" s="229"/>
      <c r="E53" s="171"/>
      <c r="F53" s="171"/>
      <c r="G53" s="171"/>
      <c r="H53" s="171"/>
      <c r="I53" s="170"/>
      <c r="J53" s="147"/>
      <c r="K53" s="147"/>
    </row>
    <row r="54" spans="1:11" ht="15" x14ac:dyDescent="0.2">
      <c r="A54" s="147"/>
      <c r="B54" s="167"/>
      <c r="C54" s="168" t="s">
        <v>247</v>
      </c>
      <c r="D54" s="128">
        <f>D52*D23</f>
        <v>246197199.60000005</v>
      </c>
      <c r="E54" s="171"/>
      <c r="F54" s="171"/>
      <c r="G54" s="171"/>
      <c r="H54" s="171"/>
      <c r="I54" s="170"/>
      <c r="J54" s="147"/>
      <c r="K54" s="147"/>
    </row>
    <row r="55" spans="1:11" ht="15" x14ac:dyDescent="0.2">
      <c r="A55" s="147"/>
      <c r="B55" s="167"/>
      <c r="C55" s="168"/>
      <c r="D55" s="171"/>
      <c r="E55" s="171"/>
      <c r="F55" s="171"/>
      <c r="G55" s="171"/>
      <c r="H55" s="171"/>
      <c r="I55" s="170"/>
      <c r="J55" s="147"/>
      <c r="K55" s="147"/>
    </row>
    <row r="56" spans="1:11" ht="15" x14ac:dyDescent="0.2">
      <c r="A56" s="147"/>
      <c r="B56" s="167"/>
      <c r="C56" s="168" t="s">
        <v>230</v>
      </c>
      <c r="D56" s="192">
        <f>NPV(D31,D42,E42,F42,G42,D54)</f>
        <v>196604092.65875748</v>
      </c>
      <c r="E56" s="171"/>
      <c r="F56" s="171"/>
      <c r="G56" s="171"/>
      <c r="H56" s="171"/>
      <c r="I56" s="170"/>
      <c r="J56" s="147"/>
      <c r="K56" s="147"/>
    </row>
    <row r="57" spans="1:11" ht="15" x14ac:dyDescent="0.2">
      <c r="A57" s="147"/>
      <c r="B57" s="167"/>
      <c r="C57" s="168"/>
      <c r="D57" s="243"/>
      <c r="E57" s="171"/>
      <c r="F57" s="171"/>
      <c r="G57" s="171"/>
      <c r="H57" s="171"/>
      <c r="I57" s="170"/>
      <c r="J57" s="147"/>
      <c r="K57" s="147"/>
    </row>
    <row r="58" spans="1:11" ht="15" x14ac:dyDescent="0.2">
      <c r="A58" s="147"/>
      <c r="B58" s="167"/>
      <c r="C58" s="168" t="s">
        <v>248</v>
      </c>
      <c r="D58" s="192">
        <f>D56-D13</f>
        <v>151604092.65875748</v>
      </c>
      <c r="E58" s="171"/>
      <c r="F58" s="171"/>
      <c r="G58" s="171"/>
      <c r="H58" s="171"/>
      <c r="I58" s="170"/>
      <c r="J58" s="147"/>
      <c r="K58" s="147"/>
    </row>
    <row r="59" spans="1:11" ht="15.75" x14ac:dyDescent="0.25">
      <c r="A59" s="147"/>
      <c r="B59" s="167"/>
      <c r="C59" s="168"/>
      <c r="D59" s="243"/>
      <c r="E59" s="172"/>
      <c r="F59" s="172"/>
      <c r="G59" s="172"/>
      <c r="H59" s="172"/>
      <c r="I59" s="170"/>
      <c r="J59" s="147"/>
      <c r="K59" s="147"/>
    </row>
    <row r="60" spans="1:11" ht="15.75" x14ac:dyDescent="0.25">
      <c r="A60" s="147"/>
      <c r="B60" s="167"/>
      <c r="C60" s="168" t="s">
        <v>43</v>
      </c>
      <c r="D60" s="228">
        <f>D58/D20</f>
        <v>77.74568854295255</v>
      </c>
      <c r="E60" s="172"/>
      <c r="F60" s="172"/>
      <c r="G60" s="172"/>
      <c r="H60" s="172"/>
      <c r="I60" s="170"/>
      <c r="J60" s="147"/>
      <c r="K60" s="147"/>
    </row>
    <row r="61" spans="1:11" ht="15.75" thickBot="1" x14ac:dyDescent="0.25">
      <c r="A61" s="147"/>
      <c r="B61" s="173"/>
      <c r="C61" s="174"/>
      <c r="D61" s="190"/>
      <c r="E61" s="190"/>
      <c r="F61" s="190"/>
      <c r="G61" s="190"/>
      <c r="H61" s="190"/>
      <c r="I61" s="175"/>
      <c r="J61" s="147"/>
      <c r="K61" s="147"/>
    </row>
    <row r="62" spans="1:11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1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1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  <row r="82" spans="1:10" ht="15" x14ac:dyDescent="0.2">
      <c r="A82" s="147"/>
      <c r="B82" s="147"/>
      <c r="C82" s="147"/>
      <c r="D82" s="147"/>
      <c r="E82" s="147"/>
      <c r="F82" s="147"/>
      <c r="G82" s="147"/>
      <c r="H82" s="147"/>
      <c r="I82" s="147"/>
      <c r="J82" s="147"/>
    </row>
    <row r="83" spans="1:10" ht="15" x14ac:dyDescent="0.2">
      <c r="A83" s="147"/>
      <c r="B83" s="147"/>
      <c r="C83" s="147"/>
      <c r="D83" s="147"/>
      <c r="E83" s="147"/>
      <c r="F83" s="147"/>
      <c r="G83" s="147"/>
      <c r="H83" s="147"/>
      <c r="I83" s="147"/>
      <c r="J83" s="147"/>
    </row>
    <row r="84" spans="1:10" ht="15" x14ac:dyDescent="0.2">
      <c r="A84" s="147"/>
      <c r="B84" s="147"/>
      <c r="C84" s="147"/>
      <c r="D84" s="147"/>
      <c r="E84" s="147"/>
      <c r="F84" s="147"/>
      <c r="G84" s="147"/>
      <c r="H84" s="147"/>
      <c r="I84" s="147"/>
      <c r="J84" s="147"/>
    </row>
    <row r="85" spans="1:10" ht="15" x14ac:dyDescent="0.2">
      <c r="A85" s="147"/>
      <c r="B85" s="147"/>
      <c r="C85" s="147"/>
      <c r="D85" s="147"/>
      <c r="E85" s="147"/>
      <c r="F85" s="147"/>
      <c r="G85" s="147"/>
      <c r="H85" s="147"/>
      <c r="I85" s="147"/>
      <c r="J85" s="147"/>
    </row>
    <row r="86" spans="1:10" ht="15" x14ac:dyDescent="0.2">
      <c r="A86" s="147"/>
      <c r="B86" s="147"/>
      <c r="C86" s="147"/>
      <c r="D86" s="147"/>
      <c r="E86" s="147"/>
      <c r="F86" s="147"/>
      <c r="G86" s="147"/>
      <c r="H86" s="147"/>
      <c r="I86" s="147"/>
      <c r="J86" s="147"/>
    </row>
    <row r="87" spans="1:10" ht="15" x14ac:dyDescent="0.2">
      <c r="A87" s="147"/>
      <c r="B87" s="147"/>
      <c r="C87" s="147"/>
      <c r="D87" s="147"/>
      <c r="E87" s="147"/>
      <c r="F87" s="147"/>
      <c r="G87" s="147"/>
      <c r="H87" s="147"/>
      <c r="I87" s="147"/>
      <c r="J87" s="147"/>
    </row>
    <row r="88" spans="1:10" ht="15" x14ac:dyDescent="0.2">
      <c r="A88" s="147"/>
      <c r="B88" s="147"/>
      <c r="C88" s="147"/>
      <c r="D88" s="147"/>
      <c r="E88" s="147"/>
      <c r="F88" s="147"/>
      <c r="G88" s="147"/>
      <c r="H88" s="147"/>
      <c r="I88" s="147"/>
      <c r="J88" s="147"/>
    </row>
    <row r="89" spans="1:10" ht="15" x14ac:dyDescent="0.2">
      <c r="A89" s="147"/>
      <c r="B89" s="147"/>
      <c r="C89" s="147"/>
      <c r="D89" s="147"/>
      <c r="E89" s="147"/>
      <c r="F89" s="147"/>
      <c r="G89" s="147"/>
      <c r="H89" s="147"/>
      <c r="I89" s="147"/>
      <c r="J89" s="147"/>
    </row>
    <row r="90" spans="1:10" ht="15" x14ac:dyDescent="0.2">
      <c r="A90" s="147"/>
      <c r="B90" s="147"/>
      <c r="C90" s="147"/>
      <c r="D90" s="147"/>
      <c r="E90" s="147"/>
      <c r="F90" s="147"/>
      <c r="G90" s="147"/>
      <c r="H90" s="147"/>
      <c r="I90" s="147"/>
      <c r="J90" s="147"/>
    </row>
    <row r="91" spans="1:10" ht="15" x14ac:dyDescent="0.2">
      <c r="A91" s="147"/>
      <c r="B91" s="147"/>
      <c r="C91" s="147"/>
      <c r="D91" s="147"/>
      <c r="E91" s="147"/>
      <c r="F91" s="147"/>
      <c r="G91" s="147"/>
      <c r="H91" s="147"/>
      <c r="I91" s="147"/>
      <c r="J91" s="147"/>
    </row>
    <row r="92" spans="1:10" ht="15" x14ac:dyDescent="0.2">
      <c r="A92" s="147"/>
      <c r="B92" s="147"/>
      <c r="C92" s="147"/>
      <c r="D92" s="147"/>
      <c r="E92" s="147"/>
      <c r="F92" s="147"/>
      <c r="G92" s="147"/>
      <c r="H92" s="147"/>
      <c r="I92" s="147"/>
      <c r="J92" s="147"/>
    </row>
    <row r="93" spans="1:10" ht="15" x14ac:dyDescent="0.2">
      <c r="A93" s="147"/>
      <c r="B93" s="147"/>
      <c r="C93" s="147"/>
      <c r="D93" s="147"/>
      <c r="E93" s="147"/>
      <c r="F93" s="147"/>
      <c r="G93" s="147"/>
      <c r="H93" s="147"/>
      <c r="I93" s="147"/>
      <c r="J93" s="147"/>
    </row>
    <row r="94" spans="1:10" ht="15" x14ac:dyDescent="0.2">
      <c r="A94" s="147"/>
      <c r="B94" s="147"/>
      <c r="C94" s="147"/>
      <c r="D94" s="147"/>
      <c r="E94" s="147"/>
      <c r="F94" s="147"/>
      <c r="G94" s="147"/>
      <c r="H94" s="147"/>
      <c r="I94" s="147"/>
      <c r="J94" s="147"/>
    </row>
    <row r="95" spans="1:10" ht="15" x14ac:dyDescent="0.2">
      <c r="A95" s="147"/>
      <c r="B95" s="147"/>
      <c r="C95" s="147"/>
      <c r="D95" s="147"/>
      <c r="E95" s="147"/>
      <c r="F95" s="147"/>
      <c r="G95" s="147"/>
      <c r="H95" s="147"/>
      <c r="I95" s="147"/>
      <c r="J95" s="147"/>
    </row>
    <row r="96" spans="1:10" ht="15" x14ac:dyDescent="0.2">
      <c r="A96" s="147"/>
      <c r="B96" s="147"/>
      <c r="C96" s="147"/>
      <c r="D96" s="147"/>
      <c r="E96" s="147"/>
      <c r="F96" s="147"/>
      <c r="G96" s="147"/>
      <c r="H96" s="147"/>
      <c r="I96" s="147"/>
      <c r="J96" s="147"/>
    </row>
    <row r="97" spans="1:10" ht="15" x14ac:dyDescent="0.2">
      <c r="A97" s="147"/>
      <c r="B97" s="147"/>
      <c r="C97" s="147"/>
      <c r="D97" s="147"/>
      <c r="E97" s="147"/>
      <c r="F97" s="147"/>
      <c r="G97" s="147"/>
      <c r="H97" s="147"/>
      <c r="I97" s="147"/>
      <c r="J97" s="147"/>
    </row>
    <row r="98" spans="1:10" ht="15" x14ac:dyDescent="0.2">
      <c r="A98" s="147"/>
      <c r="B98" s="147"/>
      <c r="C98" s="147"/>
      <c r="D98" s="147"/>
      <c r="E98" s="147"/>
      <c r="F98" s="147"/>
      <c r="G98" s="147"/>
      <c r="H98" s="147"/>
      <c r="I98" s="147"/>
      <c r="J98" s="147"/>
    </row>
    <row r="99" spans="1:10" ht="15" x14ac:dyDescent="0.2">
      <c r="A99" s="147"/>
      <c r="B99" s="147"/>
      <c r="C99" s="147"/>
      <c r="D99" s="147"/>
      <c r="E99" s="147"/>
      <c r="F99" s="147"/>
      <c r="G99" s="147"/>
      <c r="H99" s="147"/>
      <c r="I99" s="147"/>
      <c r="J99" s="147"/>
    </row>
    <row r="100" spans="1:10" ht="15" x14ac:dyDescent="0.2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</row>
    <row r="101" spans="1:10" ht="15" x14ac:dyDescent="0.2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</row>
    <row r="102" spans="1:10" ht="15" x14ac:dyDescent="0.2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</row>
    <row r="103" spans="1:10" ht="15" x14ac:dyDescent="0.2">
      <c r="A103" s="147"/>
      <c r="B103" s="147"/>
      <c r="C103" s="147"/>
      <c r="D103" s="147"/>
      <c r="E103" s="147"/>
      <c r="F103" s="147"/>
      <c r="G103" s="147"/>
      <c r="H103" s="147"/>
      <c r="I103" s="147"/>
    </row>
    <row r="104" spans="1:10" ht="15" x14ac:dyDescent="0.2">
      <c r="A104" s="147"/>
      <c r="B104" s="147"/>
      <c r="C104" s="147"/>
      <c r="D104" s="147"/>
      <c r="E104" s="147"/>
      <c r="F104" s="147"/>
      <c r="G104" s="147"/>
      <c r="H104" s="147"/>
      <c r="I104" s="147"/>
    </row>
    <row r="105" spans="1:10" ht="15" x14ac:dyDescent="0.2">
      <c r="A105" s="147"/>
      <c r="B105" s="147"/>
      <c r="C105" s="147"/>
      <c r="D105" s="147"/>
      <c r="E105" s="147"/>
      <c r="F105" s="147"/>
      <c r="G105" s="147"/>
      <c r="H105" s="147"/>
      <c r="I105" s="147"/>
    </row>
    <row r="106" spans="1:10" ht="15" x14ac:dyDescent="0.2">
      <c r="A106" s="147"/>
      <c r="B106" s="147"/>
      <c r="C106" s="147"/>
      <c r="D106" s="147"/>
      <c r="E106" s="147"/>
      <c r="F106" s="147"/>
      <c r="G106" s="147"/>
      <c r="H106" s="147"/>
      <c r="I106" s="147"/>
    </row>
    <row r="107" spans="1:10" ht="15" x14ac:dyDescent="0.2">
      <c r="A107" s="147"/>
      <c r="B107" s="147"/>
      <c r="C107" s="147"/>
      <c r="D107" s="147"/>
      <c r="E107" s="147"/>
      <c r="F107" s="147"/>
      <c r="G107" s="147"/>
      <c r="H107" s="147"/>
      <c r="I107" s="147"/>
    </row>
    <row r="108" spans="1:10" ht="15" x14ac:dyDescent="0.2">
      <c r="A108" s="147"/>
      <c r="B108" s="147"/>
      <c r="C108" s="147"/>
      <c r="D108" s="147"/>
      <c r="E108" s="147"/>
      <c r="F108" s="147"/>
      <c r="G108" s="147"/>
      <c r="H108" s="147"/>
      <c r="I108" s="147"/>
    </row>
    <row r="109" spans="1:10" ht="15" x14ac:dyDescent="0.2">
      <c r="A109" s="147"/>
      <c r="B109" s="147"/>
      <c r="C109" s="147"/>
      <c r="D109" s="147"/>
      <c r="E109" s="147"/>
      <c r="F109" s="147"/>
      <c r="G109" s="147"/>
      <c r="H109" s="147"/>
      <c r="I109" s="147"/>
    </row>
    <row r="110" spans="1:10" ht="15" x14ac:dyDescent="0.2">
      <c r="A110" s="147"/>
      <c r="B110" s="147"/>
      <c r="C110" s="147"/>
      <c r="D110" s="147"/>
      <c r="E110" s="147"/>
      <c r="F110" s="147"/>
      <c r="G110" s="147"/>
      <c r="H110" s="147"/>
      <c r="I110" s="147"/>
    </row>
    <row r="111" spans="1:10" ht="15" x14ac:dyDescent="0.2">
      <c r="A111" s="147"/>
      <c r="B111" s="147"/>
      <c r="C111" s="147"/>
      <c r="D111" s="147"/>
      <c r="E111" s="147"/>
      <c r="F111" s="147"/>
      <c r="G111" s="147"/>
      <c r="H111" s="147"/>
      <c r="I111" s="147"/>
    </row>
    <row r="112" spans="1:10" ht="15" x14ac:dyDescent="0.2">
      <c r="A112" s="147"/>
      <c r="B112" s="147"/>
      <c r="C112" s="147"/>
      <c r="D112" s="147"/>
      <c r="E112" s="147"/>
      <c r="F112" s="147"/>
      <c r="G112" s="147"/>
      <c r="H112" s="147"/>
      <c r="I112" s="147"/>
    </row>
    <row r="113" spans="1:9" ht="15" x14ac:dyDescent="0.2">
      <c r="A113" s="147"/>
      <c r="B113" s="147"/>
      <c r="C113" s="147"/>
      <c r="D113" s="147"/>
      <c r="E113" s="147"/>
      <c r="F113" s="147"/>
      <c r="G113" s="147"/>
      <c r="H113" s="147"/>
      <c r="I113" s="147"/>
    </row>
    <row r="114" spans="1:9" ht="15" x14ac:dyDescent="0.2">
      <c r="A114" s="147"/>
      <c r="B114" s="147"/>
      <c r="C114" s="147"/>
      <c r="D114" s="147"/>
      <c r="E114" s="147"/>
      <c r="F114" s="147"/>
      <c r="G114" s="147"/>
      <c r="H114" s="147"/>
      <c r="I114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2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6.42578125" style="149" bestFit="1" customWidth="1"/>
    <col min="4" max="4" width="18.140625" style="149" customWidth="1"/>
    <col min="5" max="5" width="3.140625" style="149" customWidth="1"/>
    <col min="6" max="7" width="9.140625" style="149" customWidth="1"/>
    <col min="8" max="8" width="9.140625" style="149"/>
    <col min="9" max="9" width="9.140625" style="149" customWidth="1"/>
    <col min="10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173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55</v>
      </c>
      <c r="D7" s="110">
        <v>0.4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61</v>
      </c>
      <c r="D8" s="107">
        <v>60000000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62</v>
      </c>
      <c r="D9" s="107">
        <v>9600000</v>
      </c>
      <c r="E9" s="178"/>
      <c r="F9" s="179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206</v>
      </c>
      <c r="D10" s="108">
        <v>7.0000000000000007E-2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63</v>
      </c>
      <c r="D11" s="108">
        <v>0.13</v>
      </c>
      <c r="E11" s="180"/>
      <c r="F11" s="50"/>
      <c r="G11" s="176"/>
      <c r="H11" s="147"/>
      <c r="I11" s="181"/>
      <c r="J11" s="147"/>
    </row>
    <row r="12" spans="1:10" ht="15.75" customHeight="1" x14ac:dyDescent="0.2">
      <c r="A12" s="147"/>
      <c r="B12" s="154"/>
      <c r="C12" s="177" t="s">
        <v>177</v>
      </c>
      <c r="D12" s="108">
        <v>0.02</v>
      </c>
      <c r="E12" s="180"/>
      <c r="F12" s="50"/>
      <c r="G12" s="176"/>
      <c r="H12" s="147"/>
      <c r="I12" s="181"/>
      <c r="J12" s="147"/>
    </row>
    <row r="13" spans="1:10" ht="15.75" customHeight="1" x14ac:dyDescent="0.2">
      <c r="A13" s="147"/>
      <c r="B13" s="154"/>
      <c r="C13" s="177" t="s">
        <v>19</v>
      </c>
      <c r="D13" s="108">
        <v>0.06</v>
      </c>
      <c r="E13" s="180"/>
      <c r="F13" s="50"/>
      <c r="G13" s="176"/>
      <c r="H13" s="147"/>
      <c r="I13" s="181"/>
      <c r="J13" s="147"/>
    </row>
    <row r="14" spans="1:10" ht="15.75" customHeight="1" x14ac:dyDescent="0.2">
      <c r="A14" s="147"/>
      <c r="B14" s="154"/>
      <c r="C14" s="177" t="s">
        <v>64</v>
      </c>
      <c r="D14" s="108">
        <v>0.2</v>
      </c>
      <c r="E14" s="180"/>
      <c r="F14" s="50"/>
      <c r="G14" s="176"/>
      <c r="H14" s="147"/>
      <c r="I14" s="181"/>
      <c r="J14" s="147"/>
    </row>
    <row r="15" spans="1:10" ht="15.75" customHeight="1" x14ac:dyDescent="0.2">
      <c r="A15" s="147"/>
      <c r="B15" s="154"/>
      <c r="C15" s="177" t="s">
        <v>207</v>
      </c>
      <c r="D15" s="108">
        <v>0</v>
      </c>
      <c r="E15" s="180"/>
      <c r="F15" s="50"/>
      <c r="G15" s="176"/>
      <c r="H15" s="147"/>
      <c r="I15" s="181"/>
      <c r="J15" s="147"/>
    </row>
    <row r="16" spans="1:10" ht="15.75" customHeight="1" x14ac:dyDescent="0.2">
      <c r="A16" s="147"/>
      <c r="B16" s="154"/>
      <c r="C16" s="177" t="s">
        <v>14</v>
      </c>
      <c r="D16" s="108">
        <v>0.21</v>
      </c>
      <c r="E16" s="180"/>
      <c r="F16" s="50"/>
      <c r="G16" s="176"/>
      <c r="H16" s="147"/>
      <c r="I16" s="181"/>
      <c r="J16" s="147"/>
    </row>
    <row r="17" spans="1:10" ht="15.75" customHeight="1" thickBot="1" x14ac:dyDescent="0.25">
      <c r="A17" s="147"/>
      <c r="B17" s="160"/>
      <c r="C17" s="182"/>
      <c r="D17" s="183"/>
      <c r="E17" s="163"/>
      <c r="F17" s="176"/>
      <c r="G17" s="184"/>
      <c r="H17" s="185"/>
      <c r="I17" s="181"/>
      <c r="J17" s="147"/>
    </row>
    <row r="18" spans="1:10" ht="15.75" customHeight="1" x14ac:dyDescent="0.2">
      <c r="A18" s="147"/>
      <c r="B18" s="147"/>
      <c r="E18" s="147"/>
      <c r="F18" s="147"/>
      <c r="G18" s="147"/>
      <c r="H18" s="147"/>
      <c r="I18" s="181"/>
      <c r="J18" s="147"/>
    </row>
    <row r="19" spans="1:10" ht="15.75" customHeight="1" x14ac:dyDescent="0.2">
      <c r="A19" s="147"/>
      <c r="B19" s="147"/>
      <c r="C19" s="150" t="s">
        <v>2</v>
      </c>
      <c r="D19" s="147"/>
      <c r="E19" s="147"/>
      <c r="F19" s="147"/>
      <c r="G19" s="147"/>
      <c r="H19" s="147"/>
      <c r="I19" s="147"/>
      <c r="J19" s="147"/>
    </row>
    <row r="20" spans="1:10" ht="15.75" customHeight="1" thickBot="1" x14ac:dyDescent="0.25">
      <c r="A20" s="147"/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ht="15.75" customHeight="1" x14ac:dyDescent="0.2">
      <c r="A21" s="147"/>
      <c r="B21" s="164"/>
      <c r="C21" s="165"/>
      <c r="D21" s="165"/>
      <c r="E21" s="166"/>
      <c r="F21" s="147"/>
      <c r="G21" s="147"/>
      <c r="H21" s="147"/>
      <c r="I21" s="147"/>
      <c r="J21" s="147"/>
    </row>
    <row r="22" spans="1:10" ht="15.75" customHeight="1" x14ac:dyDescent="0.2">
      <c r="A22" s="147"/>
      <c r="B22" s="186"/>
      <c r="C22" s="168" t="s">
        <v>214</v>
      </c>
      <c r="D22" s="221">
        <f>D14/(1+D14)</f>
        <v>0.16666666666666669</v>
      </c>
      <c r="E22" s="170"/>
      <c r="F22" s="147"/>
      <c r="G22" s="147"/>
      <c r="H22" s="147"/>
      <c r="I22" s="147"/>
      <c r="J22" s="147"/>
    </row>
    <row r="23" spans="1:10" ht="15.75" customHeight="1" x14ac:dyDescent="0.2">
      <c r="A23" s="147"/>
      <c r="B23" s="186"/>
      <c r="C23" s="168" t="s">
        <v>261</v>
      </c>
      <c r="D23" s="221">
        <f>1/(1+D14)</f>
        <v>0.83333333333333337</v>
      </c>
      <c r="E23" s="170"/>
      <c r="F23" s="147"/>
      <c r="G23" s="147"/>
      <c r="H23" s="147"/>
      <c r="I23" s="147"/>
      <c r="J23" s="147"/>
    </row>
    <row r="24" spans="1:10" ht="15.75" customHeight="1" x14ac:dyDescent="0.2">
      <c r="A24" s="147"/>
      <c r="B24" s="186"/>
      <c r="C24" s="168" t="s">
        <v>29</v>
      </c>
      <c r="D24" s="124">
        <f>(((1/(1+D7))*D11)+((D7/(1+D7))*(D23)*D13*(1-D16)))/((1-((D7*D22/(1+D7)))))</f>
        <v>0.10935000000000002</v>
      </c>
      <c r="E24" s="170"/>
      <c r="F24" s="187"/>
      <c r="G24" s="147"/>
      <c r="H24" s="147"/>
      <c r="I24" s="147"/>
      <c r="J24" s="147"/>
    </row>
    <row r="25" spans="1:10" ht="15.75" customHeight="1" x14ac:dyDescent="0.2">
      <c r="A25" s="147"/>
      <c r="B25" s="186"/>
      <c r="C25" s="168" t="s">
        <v>175</v>
      </c>
      <c r="D25" s="124">
        <f>((1/(1+D7))*D10)+(D7/(1+D7))*((D14/(1+D14)*D15)+(1/(1+D14))*D12)</f>
        <v>5.4761904761904762E-2</v>
      </c>
      <c r="E25" s="170"/>
      <c r="F25" s="187"/>
      <c r="G25" s="147"/>
      <c r="H25" s="147"/>
      <c r="I25" s="147"/>
      <c r="J25" s="147"/>
    </row>
    <row r="26" spans="1:10" ht="15.75" customHeight="1" x14ac:dyDescent="0.2">
      <c r="A26" s="147"/>
      <c r="B26" s="186"/>
      <c r="C26" s="168" t="s">
        <v>168</v>
      </c>
      <c r="D26" s="125">
        <f>D8/(1-D25)</f>
        <v>63476070.528967254</v>
      </c>
      <c r="E26" s="170"/>
      <c r="F26" s="187"/>
      <c r="G26" s="147"/>
      <c r="H26" s="147"/>
      <c r="I26" s="147"/>
      <c r="J26" s="147"/>
    </row>
    <row r="27" spans="1:10" ht="15.75" customHeight="1" x14ac:dyDescent="0.25">
      <c r="A27" s="147"/>
      <c r="B27" s="186"/>
      <c r="C27" s="168" t="s">
        <v>59</v>
      </c>
      <c r="D27" s="55">
        <f>-D26+(D9/D24)</f>
        <v>24315424.669935338</v>
      </c>
      <c r="E27" s="170"/>
      <c r="F27" s="188"/>
      <c r="G27" s="147"/>
      <c r="H27" s="147"/>
      <c r="I27" s="147"/>
      <c r="J27" s="147"/>
    </row>
    <row r="28" spans="1:10" ht="15.75" customHeight="1" thickBot="1" x14ac:dyDescent="0.25">
      <c r="A28" s="147"/>
      <c r="B28" s="189"/>
      <c r="C28" s="174"/>
      <c r="D28" s="190"/>
      <c r="E28" s="175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.7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.75" customHeight="1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.75" customHeight="1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.75" customHeight="1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.75" customHeight="1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15" x14ac:dyDescent="0.2">
      <c r="A77" s="147"/>
      <c r="B77" s="147"/>
      <c r="C77" s="147"/>
      <c r="D77" s="147"/>
      <c r="E77" s="147"/>
      <c r="F77" s="147"/>
      <c r="G77" s="147"/>
      <c r="H77" s="147"/>
      <c r="I77" s="147"/>
      <c r="J77" s="147"/>
    </row>
    <row r="78" spans="1:10" ht="15" x14ac:dyDescent="0.2">
      <c r="A78" s="147"/>
      <c r="B78" s="147"/>
      <c r="C78" s="147"/>
      <c r="D78" s="147"/>
      <c r="E78" s="147"/>
      <c r="F78" s="147"/>
      <c r="G78" s="147"/>
      <c r="H78" s="147"/>
      <c r="I78" s="147"/>
      <c r="J78" s="147"/>
    </row>
    <row r="79" spans="1:10" ht="15" x14ac:dyDescent="0.2">
      <c r="A79" s="147"/>
      <c r="B79" s="147"/>
      <c r="C79" s="147"/>
      <c r="D79" s="147"/>
      <c r="E79" s="147"/>
      <c r="F79" s="147"/>
      <c r="G79" s="147"/>
      <c r="H79" s="147"/>
      <c r="I79" s="147"/>
      <c r="J79" s="147"/>
    </row>
    <row r="80" spans="1:10" ht="15" x14ac:dyDescent="0.2">
      <c r="A80" s="147"/>
      <c r="B80" s="147"/>
      <c r="C80" s="147"/>
      <c r="D80" s="147"/>
      <c r="E80" s="147"/>
      <c r="F80" s="147"/>
      <c r="G80" s="147"/>
      <c r="H80" s="147"/>
      <c r="I80" s="147"/>
      <c r="J80" s="147"/>
    </row>
    <row r="81" spans="1:10" ht="15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4.140625" style="149" customWidth="1"/>
    <col min="4" max="4" width="18.1406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.75" customHeight="1" x14ac:dyDescent="0.2">
      <c r="A2" s="147"/>
      <c r="B2" s="147"/>
      <c r="C2" s="147" t="s">
        <v>216</v>
      </c>
      <c r="D2" s="147"/>
      <c r="E2" s="147"/>
      <c r="F2" s="147"/>
      <c r="G2" s="147"/>
      <c r="H2" s="147"/>
      <c r="I2" s="147"/>
      <c r="J2" s="147"/>
    </row>
    <row r="3" spans="1:10" ht="15.7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75" customHeight="1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customHeight="1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.75" customHeight="1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.75" customHeight="1" x14ac:dyDescent="0.2">
      <c r="A7" s="147"/>
      <c r="B7" s="154"/>
      <c r="C7" s="177" t="s">
        <v>31</v>
      </c>
      <c r="D7" s="110">
        <v>0.65</v>
      </c>
      <c r="E7" s="178"/>
      <c r="F7" s="179"/>
      <c r="G7" s="176"/>
      <c r="H7" s="147"/>
      <c r="I7" s="147"/>
      <c r="J7" s="147"/>
    </row>
    <row r="8" spans="1:10" ht="15.75" customHeight="1" x14ac:dyDescent="0.2">
      <c r="A8" s="147"/>
      <c r="B8" s="154"/>
      <c r="C8" s="177" t="s">
        <v>61</v>
      </c>
      <c r="D8" s="107">
        <v>137000000</v>
      </c>
      <c r="E8" s="178"/>
      <c r="F8" s="179"/>
      <c r="G8" s="176"/>
      <c r="H8" s="147"/>
      <c r="I8" s="147"/>
      <c r="J8" s="147"/>
    </row>
    <row r="9" spans="1:10" ht="15.75" customHeight="1" x14ac:dyDescent="0.2">
      <c r="A9" s="147"/>
      <c r="B9" s="154"/>
      <c r="C9" s="177" t="s">
        <v>206</v>
      </c>
      <c r="D9" s="108">
        <v>0.08</v>
      </c>
      <c r="E9" s="180"/>
      <c r="F9" s="50"/>
      <c r="G9" s="176"/>
      <c r="H9" s="147"/>
      <c r="I9" s="147"/>
      <c r="J9" s="147"/>
    </row>
    <row r="10" spans="1:10" ht="15.75" customHeight="1" x14ac:dyDescent="0.2">
      <c r="A10" s="147"/>
      <c r="B10" s="154"/>
      <c r="C10" s="177" t="s">
        <v>177</v>
      </c>
      <c r="D10" s="191">
        <v>3.5000000000000003E-2</v>
      </c>
      <c r="E10" s="180"/>
      <c r="F10" s="50"/>
      <c r="G10" s="176"/>
      <c r="H10" s="147"/>
      <c r="I10" s="147"/>
      <c r="J10" s="147"/>
    </row>
    <row r="11" spans="1:10" ht="15.75" customHeight="1" x14ac:dyDescent="0.2">
      <c r="A11" s="147"/>
      <c r="B11" s="154"/>
      <c r="C11" s="177" t="s">
        <v>169</v>
      </c>
      <c r="D11" s="108"/>
      <c r="E11" s="180"/>
      <c r="F11" s="50"/>
      <c r="G11" s="176"/>
      <c r="H11" s="147"/>
      <c r="I11" s="147"/>
      <c r="J11" s="147"/>
    </row>
    <row r="12" spans="1:10" ht="15.75" customHeight="1" x14ac:dyDescent="0.2">
      <c r="A12" s="147"/>
      <c r="B12" s="154"/>
      <c r="C12" s="177" t="s">
        <v>170</v>
      </c>
      <c r="D12" s="108">
        <v>0</v>
      </c>
      <c r="E12" s="180"/>
      <c r="F12" s="50"/>
      <c r="G12" s="176"/>
      <c r="H12" s="147"/>
      <c r="I12" s="147"/>
      <c r="J12" s="147"/>
    </row>
    <row r="13" spans="1:10" ht="15.75" customHeight="1" thickBot="1" x14ac:dyDescent="0.25">
      <c r="A13" s="147"/>
      <c r="B13" s="160"/>
      <c r="C13" s="182"/>
      <c r="D13" s="183"/>
      <c r="E13" s="163"/>
      <c r="F13" s="176"/>
      <c r="G13" s="184"/>
      <c r="H13" s="185"/>
      <c r="I13" s="147"/>
      <c r="J13" s="147"/>
    </row>
    <row r="14" spans="1:10" ht="15.75" customHeight="1" x14ac:dyDescent="0.2">
      <c r="A14" s="147"/>
      <c r="B14" s="147"/>
      <c r="E14" s="147"/>
      <c r="F14" s="147"/>
      <c r="G14" s="147"/>
      <c r="H14" s="147"/>
      <c r="I14" s="147"/>
      <c r="J14" s="147"/>
    </row>
    <row r="15" spans="1:10" ht="15.75" customHeight="1" x14ac:dyDescent="0.2">
      <c r="A15" s="147"/>
      <c r="B15" s="147"/>
      <c r="C15" s="150" t="s">
        <v>2</v>
      </c>
      <c r="D15" s="147"/>
      <c r="E15" s="147"/>
      <c r="F15" s="147"/>
      <c r="G15" s="147"/>
      <c r="H15" s="147"/>
      <c r="I15" s="147"/>
      <c r="J15" s="147"/>
    </row>
    <row r="16" spans="1:10" ht="15.75" customHeight="1" thickBo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ht="15.75" customHeight="1" x14ac:dyDescent="0.2">
      <c r="A17" s="147"/>
      <c r="B17" s="164"/>
      <c r="C17" s="165"/>
      <c r="D17" s="165"/>
      <c r="E17" s="166"/>
      <c r="F17" s="147"/>
      <c r="G17" s="147"/>
      <c r="H17" s="147"/>
      <c r="I17" s="147"/>
      <c r="J17" s="147"/>
    </row>
    <row r="18" spans="1:10" ht="15.75" customHeight="1" x14ac:dyDescent="0.35">
      <c r="A18" s="147"/>
      <c r="B18" s="186"/>
      <c r="C18" s="168" t="s">
        <v>171</v>
      </c>
      <c r="D18" s="124">
        <f>D7/(1+D7)</f>
        <v>0.39393939393939398</v>
      </c>
      <c r="E18" s="170"/>
      <c r="F18" s="187"/>
      <c r="G18" s="147"/>
      <c r="H18" s="147"/>
      <c r="I18" s="147"/>
      <c r="J18" s="147"/>
    </row>
    <row r="19" spans="1:10" ht="15.75" customHeight="1" x14ac:dyDescent="0.35">
      <c r="A19" s="147"/>
      <c r="B19" s="186"/>
      <c r="C19" s="168" t="s">
        <v>172</v>
      </c>
      <c r="D19" s="124">
        <f>1-D18</f>
        <v>0.60606060606060597</v>
      </c>
      <c r="E19" s="170"/>
      <c r="F19" s="187"/>
      <c r="G19" s="147"/>
      <c r="H19" s="147"/>
      <c r="I19" s="147"/>
      <c r="J19" s="147"/>
    </row>
    <row r="20" spans="1:10" ht="15.75" customHeight="1" x14ac:dyDescent="0.2">
      <c r="A20" s="147"/>
      <c r="B20" s="186"/>
      <c r="C20" s="168" t="s">
        <v>175</v>
      </c>
      <c r="D20" s="124">
        <f>(D18*D10)+((1-D12)*D19*D9)</f>
        <v>6.2272727272727271E-2</v>
      </c>
      <c r="E20" s="170"/>
      <c r="F20" s="187"/>
      <c r="G20" s="147"/>
      <c r="H20" s="147"/>
      <c r="I20" s="147"/>
      <c r="J20" s="147"/>
    </row>
    <row r="21" spans="1:10" ht="15.75" customHeight="1" x14ac:dyDescent="0.2">
      <c r="A21" s="147"/>
      <c r="B21" s="186"/>
      <c r="C21" s="168"/>
      <c r="D21" s="124"/>
      <c r="E21" s="170"/>
      <c r="F21" s="187"/>
      <c r="G21" s="147"/>
      <c r="H21" s="147"/>
      <c r="I21" s="147"/>
      <c r="J21" s="147"/>
    </row>
    <row r="22" spans="1:10" ht="15.75" customHeight="1" x14ac:dyDescent="0.25">
      <c r="A22" s="147"/>
      <c r="B22" s="186"/>
      <c r="C22" s="168" t="s">
        <v>168</v>
      </c>
      <c r="D22" s="55">
        <f>D8/(1-D20)</f>
        <v>146097915.65681046</v>
      </c>
      <c r="E22" s="170"/>
      <c r="F22" s="187"/>
      <c r="G22" s="147"/>
      <c r="H22" s="147"/>
      <c r="I22" s="147"/>
      <c r="J22" s="147"/>
    </row>
    <row r="23" spans="1:10" ht="15.75" customHeight="1" thickBot="1" x14ac:dyDescent="0.25">
      <c r="A23" s="147"/>
      <c r="B23" s="189"/>
      <c r="C23" s="174"/>
      <c r="D23" s="190"/>
      <c r="E23" s="175"/>
      <c r="F23" s="147"/>
      <c r="G23" s="147"/>
      <c r="H23" s="147"/>
      <c r="I23" s="147"/>
      <c r="J23" s="147"/>
    </row>
    <row r="24" spans="1:10" ht="15.75" customHeight="1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</row>
    <row r="25" spans="1:10" ht="15.75" customHeight="1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</row>
    <row r="26" spans="1:10" ht="15.75" customHeight="1" x14ac:dyDescent="0.2">
      <c r="A26" s="147"/>
      <c r="B26" s="147"/>
      <c r="C26" s="147"/>
      <c r="D26" s="147"/>
      <c r="E26" s="147"/>
      <c r="F26" s="147"/>
      <c r="G26" s="147"/>
      <c r="H26" s="147"/>
      <c r="I26" s="147"/>
      <c r="J26" s="147"/>
    </row>
    <row r="27" spans="1:10" ht="15.75" customHeight="1" x14ac:dyDescent="0.2">
      <c r="A27" s="147"/>
      <c r="B27" s="147"/>
      <c r="C27" s="147"/>
      <c r="D27" s="147"/>
      <c r="E27" s="147"/>
      <c r="F27" s="147"/>
      <c r="G27" s="147"/>
      <c r="H27" s="147"/>
      <c r="I27" s="147"/>
      <c r="J27" s="147"/>
    </row>
    <row r="28" spans="1:10" ht="15.75" customHeight="1" x14ac:dyDescent="0.2">
      <c r="A28" s="147"/>
      <c r="B28" s="147"/>
      <c r="C28" s="147"/>
      <c r="D28" s="147"/>
      <c r="E28" s="147"/>
      <c r="F28" s="147"/>
      <c r="G28" s="147"/>
      <c r="H28" s="147"/>
      <c r="I28" s="147"/>
      <c r="J28" s="147"/>
    </row>
    <row r="29" spans="1:10" ht="15.75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ht="15.75" customHeight="1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15.75" customHeight="1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5.75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5.75" customHeight="1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</row>
    <row r="34" spans="1:10" ht="15.75" customHeight="1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</row>
    <row r="35" spans="1:10" ht="15.75" customHeight="1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ht="15.75" customHeight="1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</row>
    <row r="37" spans="1:10" ht="15.75" customHeight="1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ht="15.75" customHeight="1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ht="15.75" customHeight="1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15.75" customHeight="1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</row>
    <row r="41" spans="1:10" ht="15.75" customHeight="1" x14ac:dyDescent="0.2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15.75" customHeight="1" x14ac:dyDescent="0.2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15.75" customHeight="1" x14ac:dyDescent="0.2">
      <c r="A43" s="147"/>
      <c r="B43" s="147"/>
      <c r="C43" s="147"/>
      <c r="D43" s="147"/>
      <c r="E43" s="147"/>
      <c r="F43" s="147"/>
      <c r="G43" s="147"/>
      <c r="H43" s="147"/>
      <c r="I43" s="147"/>
      <c r="J43" s="147"/>
    </row>
    <row r="44" spans="1:10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0" ht="15" x14ac:dyDescent="0.2">
      <c r="A45" s="147"/>
      <c r="B45" s="147"/>
      <c r="C45" s="147"/>
      <c r="D45" s="147"/>
      <c r="E45" s="147"/>
      <c r="F45" s="147"/>
      <c r="G45" s="147"/>
      <c r="H45" s="147"/>
      <c r="I45" s="147"/>
      <c r="J45" s="147"/>
    </row>
    <row r="46" spans="1:10" ht="15" x14ac:dyDescent="0.2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0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</row>
    <row r="48" spans="1:10" ht="15" x14ac:dyDescent="0.2">
      <c r="A48" s="147"/>
      <c r="B48" s="147"/>
      <c r="C48" s="147"/>
      <c r="D48" s="147"/>
      <c r="E48" s="147"/>
      <c r="F48" s="147"/>
      <c r="G48" s="147"/>
      <c r="H48" s="147"/>
      <c r="I48" s="147"/>
      <c r="J48" s="147"/>
    </row>
    <row r="49" spans="1:10" ht="15" x14ac:dyDescent="0.2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  <row r="50" spans="1:10" ht="15" x14ac:dyDescent="0.2">
      <c r="A50" s="147"/>
      <c r="B50" s="147"/>
      <c r="C50" s="147"/>
      <c r="D50" s="147"/>
      <c r="E50" s="147"/>
      <c r="F50" s="147"/>
      <c r="G50" s="147"/>
      <c r="H50" s="147"/>
      <c r="I50" s="147"/>
      <c r="J50" s="147"/>
    </row>
    <row r="51" spans="1:10" ht="15" x14ac:dyDescent="0.2">
      <c r="A51" s="147"/>
      <c r="B51" s="147"/>
      <c r="C51" s="147"/>
      <c r="D51" s="147"/>
      <c r="E51" s="147"/>
      <c r="F51" s="147"/>
      <c r="G51" s="147"/>
      <c r="H51" s="147"/>
      <c r="I51" s="147"/>
      <c r="J51" s="147"/>
    </row>
    <row r="52" spans="1:10" ht="15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</row>
    <row r="53" spans="1:10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</row>
    <row r="54" spans="1:10" ht="15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</row>
    <row r="56" spans="1:10" ht="15" x14ac:dyDescent="0.2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</row>
    <row r="58" spans="1:10" ht="15" x14ac:dyDescent="0.2">
      <c r="A58" s="147"/>
      <c r="B58" s="147"/>
      <c r="C58" s="147"/>
      <c r="D58" s="147"/>
      <c r="E58" s="147"/>
      <c r="F58" s="147"/>
      <c r="G58" s="147"/>
      <c r="H58" s="147"/>
      <c r="I58" s="147"/>
      <c r="J58" s="147"/>
    </row>
    <row r="59" spans="1:10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ht="15" x14ac:dyDescent="0.2">
      <c r="A60" s="147"/>
      <c r="B60" s="147"/>
      <c r="C60" s="147"/>
      <c r="D60" s="147"/>
      <c r="E60" s="147"/>
      <c r="F60" s="147"/>
      <c r="G60" s="147"/>
      <c r="H60" s="147"/>
      <c r="I60" s="147"/>
      <c r="J60" s="147"/>
    </row>
    <row r="61" spans="1:10" ht="15" x14ac:dyDescent="0.2">
      <c r="A61" s="147"/>
      <c r="B61" s="147"/>
      <c r="C61" s="147"/>
      <c r="D61" s="147"/>
      <c r="E61" s="147"/>
      <c r="F61" s="147"/>
      <c r="G61" s="147"/>
      <c r="H61" s="147"/>
      <c r="I61" s="147"/>
      <c r="J61" s="147"/>
    </row>
    <row r="62" spans="1:10" ht="15" x14ac:dyDescent="0.2">
      <c r="A62" s="147"/>
      <c r="B62" s="147"/>
      <c r="C62" s="147"/>
      <c r="D62" s="147"/>
      <c r="E62" s="147"/>
      <c r="F62" s="147"/>
      <c r="G62" s="147"/>
      <c r="H62" s="147"/>
      <c r="I62" s="147"/>
      <c r="J62" s="147"/>
    </row>
    <row r="63" spans="1:10" ht="15" x14ac:dyDescent="0.2">
      <c r="A63" s="147"/>
      <c r="B63" s="147"/>
      <c r="C63" s="147"/>
      <c r="D63" s="147"/>
      <c r="E63" s="147"/>
      <c r="F63" s="147"/>
      <c r="G63" s="147"/>
      <c r="H63" s="147"/>
      <c r="I63" s="147"/>
      <c r="J63" s="147"/>
    </row>
    <row r="64" spans="1:10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</row>
    <row r="65" spans="1:10" ht="15" x14ac:dyDescent="0.2">
      <c r="A65" s="147"/>
      <c r="B65" s="147"/>
      <c r="C65" s="147"/>
      <c r="D65" s="147"/>
      <c r="E65" s="147"/>
      <c r="F65" s="147"/>
      <c r="G65" s="147"/>
      <c r="H65" s="147"/>
      <c r="I65" s="147"/>
      <c r="J65" s="147"/>
    </row>
    <row r="66" spans="1:10" ht="15" x14ac:dyDescent="0.2">
      <c r="A66" s="147"/>
      <c r="B66" s="147"/>
      <c r="C66" s="147"/>
      <c r="D66" s="147"/>
      <c r="E66" s="147"/>
      <c r="F66" s="147"/>
      <c r="G66" s="147"/>
      <c r="H66" s="147"/>
      <c r="I66" s="147"/>
      <c r="J66" s="147"/>
    </row>
    <row r="67" spans="1:10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</row>
    <row r="68" spans="1:10" ht="15" x14ac:dyDescent="0.2">
      <c r="A68" s="147"/>
      <c r="B68" s="147"/>
      <c r="C68" s="147"/>
      <c r="D68" s="147"/>
      <c r="E68" s="147"/>
      <c r="F68" s="147"/>
      <c r="G68" s="147"/>
      <c r="H68" s="147"/>
      <c r="I68" s="147"/>
      <c r="J68" s="147"/>
    </row>
    <row r="69" spans="1:10" ht="15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</row>
    <row r="70" spans="1:10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</row>
    <row r="71" spans="1:10" ht="15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</row>
    <row r="72" spans="1:10" ht="15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</row>
    <row r="73" spans="1:10" ht="15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</row>
    <row r="74" spans="1:10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</row>
    <row r="75" spans="1:10" ht="15" x14ac:dyDescent="0.2">
      <c r="A75" s="147"/>
      <c r="B75" s="147"/>
      <c r="C75" s="147"/>
      <c r="D75" s="147"/>
      <c r="E75" s="147"/>
      <c r="F75" s="147"/>
      <c r="G75" s="147"/>
      <c r="H75" s="147"/>
      <c r="I75" s="147"/>
      <c r="J75" s="147"/>
    </row>
    <row r="76" spans="1:10" ht="15" x14ac:dyDescent="0.2">
      <c r="A76" s="147"/>
      <c r="B76" s="147"/>
      <c r="C76" s="147"/>
      <c r="D76" s="147"/>
      <c r="E76" s="147"/>
      <c r="F76" s="147"/>
      <c r="G76" s="147"/>
      <c r="H76" s="147"/>
      <c r="I76" s="147"/>
      <c r="J76" s="147"/>
    </row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zoomScaleNormal="100" workbookViewId="0">
      <selection activeCell="C2" sqref="C2"/>
    </sheetView>
  </sheetViews>
  <sheetFormatPr defaultRowHeight="12.75" x14ac:dyDescent="0.2"/>
  <cols>
    <col min="1" max="1" width="9.140625" style="149"/>
    <col min="2" max="2" width="3.140625" style="149" customWidth="1"/>
    <col min="3" max="3" width="26.7109375" style="149" customWidth="1"/>
    <col min="4" max="4" width="19.42578125" style="149" customWidth="1"/>
    <col min="5" max="5" width="3.140625" style="149" customWidth="1"/>
    <col min="6" max="7" width="9.140625" style="149" customWidth="1"/>
    <col min="8" max="16384" width="9.140625" style="149"/>
  </cols>
  <sheetData>
    <row r="1" spans="1:10" ht="18" x14ac:dyDescent="0.25">
      <c r="A1" s="147"/>
      <c r="B1" s="147"/>
      <c r="C1" s="148" t="s">
        <v>159</v>
      </c>
      <c r="D1" s="147"/>
      <c r="E1" s="147"/>
      <c r="F1" s="147"/>
      <c r="G1" s="147"/>
      <c r="H1" s="147"/>
      <c r="I1" s="147"/>
      <c r="J1" s="147"/>
    </row>
    <row r="2" spans="1:10" ht="15" x14ac:dyDescent="0.2">
      <c r="A2" s="147"/>
      <c r="B2" s="147"/>
      <c r="C2" s="147" t="s">
        <v>215</v>
      </c>
      <c r="D2" s="147"/>
      <c r="E2" s="147"/>
      <c r="F2" s="147"/>
      <c r="G2" s="147"/>
      <c r="H2" s="147"/>
      <c r="I2" s="147"/>
      <c r="J2" s="147"/>
    </row>
    <row r="3" spans="1:10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" x14ac:dyDescent="0.2">
      <c r="A4" s="147"/>
      <c r="B4" s="147"/>
      <c r="C4" s="150" t="s">
        <v>1</v>
      </c>
      <c r="D4" s="147"/>
      <c r="E4" s="147"/>
      <c r="F4" s="147"/>
      <c r="G4" s="147"/>
      <c r="H4" s="147"/>
      <c r="I4" s="147"/>
      <c r="J4" s="147"/>
    </row>
    <row r="5" spans="1:10" ht="15.75" thickBo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</row>
    <row r="6" spans="1:10" ht="15" x14ac:dyDescent="0.2">
      <c r="A6" s="147"/>
      <c r="B6" s="151"/>
      <c r="C6" s="152"/>
      <c r="D6" s="152"/>
      <c r="E6" s="153"/>
      <c r="F6" s="176"/>
      <c r="G6" s="176"/>
      <c r="H6" s="147"/>
      <c r="I6" s="147"/>
      <c r="J6" s="147"/>
    </row>
    <row r="7" spans="1:10" ht="15" x14ac:dyDescent="0.2">
      <c r="A7" s="147"/>
      <c r="B7" s="154"/>
      <c r="C7" s="177" t="s">
        <v>119</v>
      </c>
      <c r="D7" s="107">
        <v>7300000</v>
      </c>
      <c r="E7" s="178"/>
      <c r="F7" s="179"/>
      <c r="G7" s="176"/>
      <c r="H7" s="147"/>
      <c r="I7" s="147"/>
      <c r="J7" s="147"/>
    </row>
    <row r="8" spans="1:10" ht="15" x14ac:dyDescent="0.2">
      <c r="A8" s="147"/>
      <c r="B8" s="154"/>
      <c r="C8" s="177" t="s">
        <v>200</v>
      </c>
      <c r="D8" s="107">
        <v>7500000</v>
      </c>
      <c r="E8" s="178"/>
      <c r="F8" s="179"/>
      <c r="G8" s="176"/>
      <c r="H8" s="147"/>
      <c r="I8" s="147"/>
      <c r="J8" s="147"/>
    </row>
    <row r="9" spans="1:10" ht="15" x14ac:dyDescent="0.2">
      <c r="A9" s="147"/>
      <c r="B9" s="154"/>
      <c r="C9" s="177" t="s">
        <v>201</v>
      </c>
      <c r="D9" s="107">
        <v>7900000</v>
      </c>
      <c r="E9" s="178"/>
      <c r="F9" s="179"/>
      <c r="G9" s="176"/>
      <c r="H9" s="147"/>
      <c r="I9" s="147"/>
      <c r="J9" s="147"/>
    </row>
    <row r="10" spans="1:10" ht="15" x14ac:dyDescent="0.2">
      <c r="A10" s="147"/>
      <c r="B10" s="154"/>
      <c r="C10" s="177" t="s">
        <v>202</v>
      </c>
      <c r="D10" s="107">
        <v>55000000</v>
      </c>
      <c r="E10" s="178"/>
      <c r="F10" s="179"/>
      <c r="G10" s="176"/>
      <c r="H10" s="147"/>
      <c r="I10" s="147"/>
      <c r="J10" s="147"/>
    </row>
    <row r="11" spans="1:10" ht="15" x14ac:dyDescent="0.2">
      <c r="A11" s="147"/>
      <c r="B11" s="154"/>
      <c r="C11" s="177"/>
      <c r="D11" s="107"/>
      <c r="E11" s="178"/>
      <c r="F11" s="179"/>
      <c r="G11" s="176"/>
      <c r="H11" s="147"/>
      <c r="I11" s="147"/>
      <c r="J11" s="147"/>
    </row>
    <row r="12" spans="1:10" ht="15" x14ac:dyDescent="0.2">
      <c r="A12" s="147"/>
      <c r="B12" s="154"/>
      <c r="C12" s="207" t="s">
        <v>27</v>
      </c>
      <c r="D12" s="106"/>
      <c r="E12" s="180"/>
      <c r="F12" s="50"/>
      <c r="G12" s="176"/>
      <c r="H12" s="147"/>
      <c r="I12" s="147"/>
      <c r="J12" s="147"/>
    </row>
    <row r="13" spans="1:10" ht="15" x14ac:dyDescent="0.2">
      <c r="A13" s="147"/>
      <c r="B13" s="154"/>
      <c r="C13" s="155" t="s">
        <v>109</v>
      </c>
      <c r="D13" s="208">
        <v>130000</v>
      </c>
      <c r="E13" s="180"/>
      <c r="F13" s="50"/>
      <c r="G13" s="176"/>
      <c r="H13" s="147"/>
      <c r="I13" s="147"/>
      <c r="J13" s="147"/>
    </row>
    <row r="14" spans="1:10" ht="15" x14ac:dyDescent="0.2">
      <c r="A14" s="147"/>
      <c r="B14" s="154"/>
      <c r="C14" s="209" t="s">
        <v>89</v>
      </c>
      <c r="D14" s="210">
        <v>36526</v>
      </c>
      <c r="E14" s="180"/>
      <c r="F14" s="50"/>
      <c r="G14" s="176"/>
      <c r="H14" s="147"/>
      <c r="I14" s="147"/>
      <c r="J14" s="147"/>
    </row>
    <row r="15" spans="1:10" ht="15" x14ac:dyDescent="0.2">
      <c r="A15" s="147"/>
      <c r="B15" s="154"/>
      <c r="C15" s="209" t="s">
        <v>90</v>
      </c>
      <c r="D15" s="210">
        <v>45658</v>
      </c>
      <c r="E15" s="180"/>
      <c r="F15" s="50"/>
      <c r="G15" s="176"/>
      <c r="H15" s="147"/>
      <c r="I15" s="147"/>
      <c r="J15" s="147"/>
    </row>
    <row r="16" spans="1:10" ht="15" x14ac:dyDescent="0.2">
      <c r="A16" s="147"/>
      <c r="B16" s="154"/>
      <c r="C16" s="209" t="s">
        <v>91</v>
      </c>
      <c r="D16" s="202">
        <v>6.0999999999999999E-2</v>
      </c>
      <c r="E16" s="180"/>
      <c r="F16" s="50"/>
      <c r="G16" s="176"/>
      <c r="H16" s="147"/>
      <c r="I16" s="147"/>
      <c r="J16" s="147"/>
    </row>
    <row r="17" spans="1:10" ht="15" x14ac:dyDescent="0.2">
      <c r="A17" s="147"/>
      <c r="B17" s="154"/>
      <c r="C17" s="209" t="s">
        <v>92</v>
      </c>
      <c r="D17" s="208">
        <v>2</v>
      </c>
      <c r="E17" s="180"/>
      <c r="F17" s="50"/>
      <c r="G17" s="176"/>
      <c r="H17" s="147"/>
      <c r="I17" s="147"/>
      <c r="J17" s="147"/>
    </row>
    <row r="18" spans="1:10" ht="15" x14ac:dyDescent="0.2">
      <c r="A18" s="147"/>
      <c r="B18" s="154"/>
      <c r="C18" s="209" t="s">
        <v>120</v>
      </c>
      <c r="D18" s="208">
        <v>100</v>
      </c>
      <c r="E18" s="180"/>
      <c r="F18" s="50"/>
      <c r="G18" s="176"/>
      <c r="H18" s="147"/>
      <c r="I18" s="147"/>
      <c r="J18" s="147"/>
    </row>
    <row r="19" spans="1:10" ht="15" x14ac:dyDescent="0.2">
      <c r="A19" s="147"/>
      <c r="B19" s="154"/>
      <c r="C19" s="209" t="s">
        <v>93</v>
      </c>
      <c r="D19" s="208">
        <v>104</v>
      </c>
      <c r="E19" s="180"/>
      <c r="F19" s="50"/>
      <c r="G19" s="176"/>
      <c r="H19" s="147"/>
      <c r="I19" s="147"/>
      <c r="J19" s="147"/>
    </row>
    <row r="20" spans="1:10" ht="15" x14ac:dyDescent="0.2">
      <c r="A20" s="147"/>
      <c r="B20" s="154"/>
      <c r="C20" s="209" t="s">
        <v>256</v>
      </c>
      <c r="D20" s="126">
        <v>2000</v>
      </c>
      <c r="E20" s="180"/>
      <c r="F20" s="50"/>
      <c r="G20" s="176"/>
      <c r="H20" s="147"/>
      <c r="I20" s="147"/>
      <c r="J20" s="147"/>
    </row>
    <row r="21" spans="1:10" ht="15" x14ac:dyDescent="0.2">
      <c r="A21" s="147"/>
      <c r="B21" s="154"/>
      <c r="C21" s="155"/>
      <c r="D21" s="159"/>
      <c r="E21" s="180"/>
      <c r="F21" s="50"/>
      <c r="G21" s="176"/>
      <c r="H21" s="147"/>
      <c r="I21" s="147"/>
      <c r="J21" s="147"/>
    </row>
    <row r="22" spans="1:10" ht="15" x14ac:dyDescent="0.2">
      <c r="A22" s="147"/>
      <c r="B22" s="154"/>
      <c r="C22" s="207" t="s">
        <v>110</v>
      </c>
      <c r="D22" s="106"/>
      <c r="E22" s="180"/>
      <c r="F22" s="50"/>
      <c r="G22" s="176"/>
      <c r="H22" s="147"/>
      <c r="I22" s="147"/>
      <c r="J22" s="147"/>
    </row>
    <row r="23" spans="1:10" ht="15" x14ac:dyDescent="0.2">
      <c r="A23" s="147"/>
      <c r="B23" s="154"/>
      <c r="C23" s="155" t="s">
        <v>42</v>
      </c>
      <c r="D23" s="106">
        <v>9900000</v>
      </c>
      <c r="E23" s="180"/>
      <c r="F23" s="50"/>
      <c r="G23" s="176"/>
      <c r="H23" s="147"/>
      <c r="I23" s="147"/>
      <c r="J23" s="147"/>
    </row>
    <row r="24" spans="1:10" ht="15" x14ac:dyDescent="0.2">
      <c r="A24" s="147"/>
      <c r="B24" s="154"/>
      <c r="C24" s="155" t="s">
        <v>6</v>
      </c>
      <c r="D24" s="211">
        <v>1.2</v>
      </c>
      <c r="E24" s="180"/>
      <c r="F24" s="50"/>
      <c r="G24" s="176"/>
      <c r="H24" s="147"/>
      <c r="I24" s="147"/>
      <c r="J24" s="147"/>
    </row>
    <row r="25" spans="1:10" ht="15" x14ac:dyDescent="0.2">
      <c r="A25" s="147"/>
      <c r="B25" s="154"/>
      <c r="C25" s="155" t="s">
        <v>43</v>
      </c>
      <c r="D25" s="158">
        <v>68</v>
      </c>
      <c r="E25" s="180"/>
      <c r="F25" s="50"/>
      <c r="G25" s="176"/>
      <c r="H25" s="147"/>
      <c r="I25" s="147"/>
      <c r="J25" s="147"/>
    </row>
    <row r="26" spans="1:10" ht="15" x14ac:dyDescent="0.2">
      <c r="A26" s="147"/>
      <c r="B26" s="154"/>
      <c r="C26" s="155"/>
      <c r="D26" s="159"/>
      <c r="E26" s="180"/>
      <c r="F26" s="50"/>
      <c r="G26" s="176"/>
      <c r="H26" s="147"/>
      <c r="I26" s="147"/>
      <c r="J26" s="147"/>
    </row>
    <row r="27" spans="1:10" ht="15" x14ac:dyDescent="0.2">
      <c r="A27" s="147"/>
      <c r="B27" s="154"/>
      <c r="C27" s="207" t="s">
        <v>44</v>
      </c>
      <c r="D27" s="106"/>
      <c r="E27" s="180"/>
      <c r="F27" s="50"/>
      <c r="G27" s="176"/>
      <c r="H27" s="147"/>
      <c r="I27" s="147"/>
      <c r="J27" s="147"/>
    </row>
    <row r="28" spans="1:10" ht="15" x14ac:dyDescent="0.2">
      <c r="A28" s="147"/>
      <c r="B28" s="154"/>
      <c r="C28" s="155" t="s">
        <v>42</v>
      </c>
      <c r="D28" s="106">
        <v>400000</v>
      </c>
      <c r="E28" s="180"/>
      <c r="F28" s="50"/>
      <c r="G28" s="176"/>
      <c r="H28" s="147"/>
      <c r="I28" s="147"/>
      <c r="J28" s="147"/>
    </row>
    <row r="29" spans="1:10" ht="15" x14ac:dyDescent="0.2">
      <c r="A29" s="147"/>
      <c r="B29" s="154"/>
      <c r="C29" s="155" t="s">
        <v>19</v>
      </c>
      <c r="D29" s="202">
        <v>4.2000000000000003E-2</v>
      </c>
      <c r="E29" s="180"/>
      <c r="F29" s="50"/>
      <c r="G29" s="176"/>
      <c r="H29" s="147"/>
      <c r="I29" s="147"/>
      <c r="J29" s="147"/>
    </row>
    <row r="30" spans="1:10" ht="15" x14ac:dyDescent="0.2">
      <c r="A30" s="147"/>
      <c r="B30" s="154"/>
      <c r="C30" s="155" t="s">
        <v>43</v>
      </c>
      <c r="D30" s="158">
        <v>87</v>
      </c>
      <c r="E30" s="180"/>
      <c r="F30" s="50"/>
      <c r="G30" s="176"/>
      <c r="H30" s="147"/>
      <c r="I30" s="147"/>
      <c r="J30" s="147"/>
    </row>
    <row r="31" spans="1:10" ht="15" x14ac:dyDescent="0.2">
      <c r="A31" s="147"/>
      <c r="B31" s="154"/>
      <c r="C31" s="155" t="s">
        <v>258</v>
      </c>
      <c r="D31" s="249">
        <v>100</v>
      </c>
      <c r="E31" s="180"/>
      <c r="F31" s="50"/>
      <c r="G31" s="176"/>
      <c r="H31" s="147"/>
      <c r="I31" s="147"/>
      <c r="J31" s="147"/>
    </row>
    <row r="32" spans="1:10" ht="15" x14ac:dyDescent="0.2">
      <c r="A32" s="147"/>
      <c r="B32" s="154"/>
      <c r="C32" s="155"/>
      <c r="D32" s="212"/>
      <c r="E32" s="180"/>
      <c r="F32" s="50"/>
      <c r="G32" s="176"/>
      <c r="H32" s="147"/>
      <c r="I32" s="147"/>
      <c r="J32" s="147"/>
    </row>
    <row r="33" spans="1:10" ht="15" x14ac:dyDescent="0.2">
      <c r="A33" s="147"/>
      <c r="B33" s="154"/>
      <c r="C33" s="207" t="s">
        <v>111</v>
      </c>
      <c r="D33" s="203"/>
      <c r="E33" s="180"/>
      <c r="F33" s="50"/>
      <c r="G33" s="176"/>
      <c r="H33" s="147"/>
      <c r="I33" s="147"/>
      <c r="J33" s="147"/>
    </row>
    <row r="34" spans="1:10" ht="15" x14ac:dyDescent="0.2">
      <c r="A34" s="147"/>
      <c r="B34" s="154"/>
      <c r="C34" s="155" t="s">
        <v>9</v>
      </c>
      <c r="D34" s="202">
        <v>7.0000000000000007E-2</v>
      </c>
      <c r="E34" s="180"/>
      <c r="F34" s="50"/>
      <c r="G34" s="176"/>
      <c r="H34" s="147"/>
      <c r="I34" s="147"/>
      <c r="J34" s="147"/>
    </row>
    <row r="35" spans="1:10" ht="15" x14ac:dyDescent="0.2">
      <c r="A35" s="147"/>
      <c r="B35" s="154"/>
      <c r="C35" s="155" t="s">
        <v>7</v>
      </c>
      <c r="D35" s="202">
        <v>3.1E-2</v>
      </c>
      <c r="E35" s="180"/>
      <c r="F35" s="50"/>
      <c r="G35" s="176"/>
      <c r="H35" s="147"/>
      <c r="I35" s="147"/>
      <c r="J35" s="147"/>
    </row>
    <row r="36" spans="1:10" ht="15" x14ac:dyDescent="0.2">
      <c r="A36" s="147"/>
      <c r="B36" s="154"/>
      <c r="C36" s="155"/>
      <c r="D36" s="202"/>
      <c r="E36" s="180"/>
      <c r="F36" s="50"/>
      <c r="G36" s="176"/>
      <c r="H36" s="147"/>
      <c r="I36" s="147"/>
      <c r="J36" s="147"/>
    </row>
    <row r="37" spans="1:10" ht="15" x14ac:dyDescent="0.2">
      <c r="A37" s="147"/>
      <c r="B37" s="154"/>
      <c r="C37" s="155" t="s">
        <v>176</v>
      </c>
      <c r="D37" s="202">
        <v>6.5000000000000002E-2</v>
      </c>
      <c r="E37" s="180"/>
      <c r="F37" s="50"/>
      <c r="G37" s="176"/>
      <c r="H37" s="147"/>
      <c r="I37" s="147"/>
      <c r="J37" s="147"/>
    </row>
    <row r="38" spans="1:10" ht="15" x14ac:dyDescent="0.2">
      <c r="A38" s="147"/>
      <c r="B38" s="154"/>
      <c r="C38" s="155" t="s">
        <v>208</v>
      </c>
      <c r="D38" s="202">
        <v>4.4999999999999998E-2</v>
      </c>
      <c r="E38" s="180"/>
      <c r="F38" s="50"/>
      <c r="G38" s="176"/>
      <c r="H38" s="147"/>
      <c r="I38" s="147"/>
      <c r="J38" s="147"/>
    </row>
    <row r="39" spans="1:10" ht="15" x14ac:dyDescent="0.2">
      <c r="A39" s="147"/>
      <c r="B39" s="154"/>
      <c r="C39" s="177" t="s">
        <v>184</v>
      </c>
      <c r="D39" s="191">
        <v>0.03</v>
      </c>
      <c r="E39" s="180"/>
      <c r="F39" s="50"/>
      <c r="G39" s="176"/>
      <c r="H39" s="147"/>
      <c r="I39" s="147"/>
      <c r="J39" s="147"/>
    </row>
    <row r="40" spans="1:10" ht="15" x14ac:dyDescent="0.2">
      <c r="A40" s="147"/>
      <c r="B40" s="154"/>
      <c r="C40" s="177" t="s">
        <v>14</v>
      </c>
      <c r="D40" s="108">
        <v>0.25</v>
      </c>
      <c r="E40" s="180"/>
      <c r="F40" s="50"/>
      <c r="G40" s="176"/>
      <c r="H40" s="147"/>
      <c r="I40" s="147"/>
      <c r="J40" s="147"/>
    </row>
    <row r="41" spans="1:10" ht="15" x14ac:dyDescent="0.2">
      <c r="A41" s="147"/>
      <c r="B41" s="154"/>
      <c r="C41" s="177" t="s">
        <v>121</v>
      </c>
      <c r="D41" s="126">
        <v>2500000</v>
      </c>
      <c r="E41" s="180"/>
      <c r="F41" s="50"/>
      <c r="G41" s="176"/>
      <c r="H41" s="147"/>
      <c r="I41" s="147"/>
      <c r="J41" s="147"/>
    </row>
    <row r="42" spans="1:10" ht="15" x14ac:dyDescent="0.2">
      <c r="A42" s="147"/>
      <c r="B42" s="154"/>
      <c r="C42" s="177" t="s">
        <v>203</v>
      </c>
      <c r="D42" s="126"/>
      <c r="E42" s="180"/>
      <c r="F42" s="50"/>
      <c r="G42" s="176"/>
      <c r="H42" s="147"/>
      <c r="I42" s="147"/>
      <c r="J42" s="147"/>
    </row>
    <row r="43" spans="1:10" ht="15" x14ac:dyDescent="0.2">
      <c r="A43" s="147"/>
      <c r="B43" s="154"/>
      <c r="C43" s="177" t="s">
        <v>209</v>
      </c>
      <c r="D43" s="126" t="s">
        <v>257</v>
      </c>
      <c r="E43" s="180"/>
      <c r="F43" s="50"/>
      <c r="G43" s="176"/>
      <c r="H43" s="147"/>
      <c r="I43" s="147"/>
      <c r="J43" s="147"/>
    </row>
    <row r="44" spans="1:10" ht="15" x14ac:dyDescent="0.2">
      <c r="A44" s="147"/>
      <c r="B44" s="154"/>
      <c r="C44" s="177"/>
      <c r="D44" s="108"/>
      <c r="E44" s="180"/>
      <c r="F44" s="50"/>
      <c r="G44" s="176"/>
      <c r="H44" s="147"/>
      <c r="I44" s="147"/>
      <c r="J44" s="147"/>
    </row>
    <row r="45" spans="1:10" ht="15" x14ac:dyDescent="0.2">
      <c r="A45" s="147"/>
      <c r="B45" s="213" t="s">
        <v>85</v>
      </c>
      <c r="C45" s="177" t="s">
        <v>57</v>
      </c>
      <c r="D45" s="108">
        <v>0.02</v>
      </c>
      <c r="E45" s="180"/>
      <c r="F45" s="50"/>
      <c r="G45" s="176"/>
      <c r="H45" s="147"/>
      <c r="I45" s="147"/>
      <c r="J45" s="147"/>
    </row>
    <row r="46" spans="1:10" ht="15" x14ac:dyDescent="0.2">
      <c r="A46" s="147"/>
      <c r="B46" s="213" t="s">
        <v>86</v>
      </c>
      <c r="C46" s="177" t="s">
        <v>122</v>
      </c>
      <c r="D46" s="127">
        <v>8</v>
      </c>
      <c r="E46" s="180"/>
      <c r="F46" s="50"/>
      <c r="G46" s="176"/>
      <c r="H46" s="147"/>
      <c r="I46" s="147"/>
      <c r="J46" s="147"/>
    </row>
    <row r="47" spans="1:10" ht="15" x14ac:dyDescent="0.2">
      <c r="A47" s="147"/>
      <c r="B47" s="213"/>
      <c r="C47" s="177" t="s">
        <v>123</v>
      </c>
      <c r="D47" s="109">
        <v>5</v>
      </c>
      <c r="E47" s="180"/>
      <c r="F47" s="50"/>
      <c r="G47" s="176"/>
      <c r="H47" s="147"/>
      <c r="I47" s="147"/>
      <c r="J47" s="147"/>
    </row>
    <row r="48" spans="1:10" ht="15" x14ac:dyDescent="0.2">
      <c r="A48" s="147"/>
      <c r="B48" s="213"/>
      <c r="C48" s="177" t="s">
        <v>65</v>
      </c>
      <c r="D48" s="107">
        <v>8900000</v>
      </c>
      <c r="E48" s="180"/>
      <c r="F48" s="50"/>
      <c r="G48" s="176"/>
      <c r="H48" s="147"/>
      <c r="I48" s="147"/>
      <c r="J48" s="147"/>
    </row>
    <row r="49" spans="1:10" ht="15" x14ac:dyDescent="0.2">
      <c r="A49" s="147"/>
      <c r="B49" s="213" t="s">
        <v>124</v>
      </c>
      <c r="C49" s="177" t="s">
        <v>66</v>
      </c>
      <c r="D49" s="107">
        <v>8100000</v>
      </c>
      <c r="E49" s="180"/>
      <c r="F49" s="50"/>
      <c r="G49" s="176"/>
      <c r="H49" s="147"/>
      <c r="I49" s="147"/>
      <c r="J49" s="147"/>
    </row>
    <row r="50" spans="1:10" ht="15" x14ac:dyDescent="0.2">
      <c r="A50" s="147"/>
      <c r="B50" s="213"/>
      <c r="C50" s="177" t="s">
        <v>68</v>
      </c>
      <c r="D50" s="109">
        <v>18500</v>
      </c>
      <c r="E50" s="180"/>
      <c r="F50" s="50"/>
      <c r="G50" s="176"/>
      <c r="H50" s="147"/>
      <c r="I50" s="147"/>
      <c r="J50" s="147"/>
    </row>
    <row r="51" spans="1:10" ht="15" x14ac:dyDescent="0.2">
      <c r="A51" s="147"/>
      <c r="B51" s="213"/>
      <c r="C51" s="177" t="s">
        <v>69</v>
      </c>
      <c r="D51" s="107">
        <v>11600</v>
      </c>
      <c r="E51" s="180"/>
      <c r="F51" s="50"/>
      <c r="G51" s="176"/>
      <c r="H51" s="147"/>
      <c r="I51" s="147"/>
      <c r="J51" s="147"/>
    </row>
    <row r="52" spans="1:10" ht="15" x14ac:dyDescent="0.2">
      <c r="A52" s="147"/>
      <c r="B52" s="213"/>
      <c r="C52" s="177" t="s">
        <v>67</v>
      </c>
      <c r="D52" s="107">
        <v>9750</v>
      </c>
      <c r="E52" s="180"/>
      <c r="F52" s="50"/>
      <c r="G52" s="176"/>
      <c r="H52" s="147"/>
      <c r="I52" s="147"/>
      <c r="J52" s="147"/>
    </row>
    <row r="53" spans="1:10" ht="15.75" thickBot="1" x14ac:dyDescent="0.25">
      <c r="A53" s="147"/>
      <c r="B53" s="160"/>
      <c r="C53" s="182"/>
      <c r="D53" s="183"/>
      <c r="E53" s="163"/>
      <c r="F53" s="176"/>
      <c r="G53" s="184"/>
      <c r="H53" s="185"/>
      <c r="I53" s="147"/>
      <c r="J53" s="147"/>
    </row>
    <row r="54" spans="1:10" ht="15" x14ac:dyDescent="0.2">
      <c r="A54" s="147"/>
      <c r="B54" s="147"/>
      <c r="E54" s="147"/>
      <c r="F54" s="147"/>
      <c r="G54" s="147"/>
      <c r="H54" s="147"/>
      <c r="I54" s="147"/>
      <c r="J54" s="147"/>
    </row>
    <row r="55" spans="1:10" ht="15" x14ac:dyDescent="0.2">
      <c r="A55" s="147"/>
      <c r="B55" s="147"/>
      <c r="C55" s="150" t="s">
        <v>2</v>
      </c>
      <c r="D55" s="147"/>
      <c r="E55" s="147"/>
      <c r="F55" s="147"/>
      <c r="G55" s="147"/>
      <c r="H55" s="147"/>
      <c r="I55" s="147"/>
      <c r="J55" s="147"/>
    </row>
    <row r="56" spans="1:10" ht="15.75" thickBot="1" x14ac:dyDescent="0.25">
      <c r="A56" s="147"/>
      <c r="B56" s="147"/>
      <c r="C56" s="147"/>
      <c r="D56" s="147"/>
      <c r="E56" s="147"/>
      <c r="F56" s="147"/>
      <c r="G56" s="147"/>
      <c r="H56" s="147"/>
      <c r="I56" s="147"/>
      <c r="J56" s="147"/>
    </row>
    <row r="57" spans="1:10" ht="15" x14ac:dyDescent="0.2">
      <c r="A57" s="147"/>
      <c r="B57" s="164"/>
      <c r="C57" s="165"/>
      <c r="D57" s="165"/>
      <c r="E57" s="166"/>
      <c r="F57" s="147"/>
      <c r="G57" s="147"/>
      <c r="H57" s="147"/>
    </row>
    <row r="58" spans="1:10" ht="15" x14ac:dyDescent="0.2">
      <c r="A58" s="147"/>
      <c r="B58" s="167"/>
      <c r="C58" s="168" t="s">
        <v>24</v>
      </c>
      <c r="D58" s="214">
        <f>(D19/100)*D13*D20</f>
        <v>270400000</v>
      </c>
      <c r="E58" s="170"/>
      <c r="F58" s="147"/>
      <c r="G58" s="147"/>
      <c r="H58" s="147"/>
    </row>
    <row r="59" spans="1:10" ht="15" x14ac:dyDescent="0.2">
      <c r="A59" s="147"/>
      <c r="B59" s="167"/>
      <c r="C59" s="168" t="s">
        <v>112</v>
      </c>
      <c r="D59" s="214">
        <f>D23*D25</f>
        <v>673200000</v>
      </c>
      <c r="E59" s="170"/>
      <c r="F59" s="147"/>
      <c r="G59" s="147"/>
      <c r="H59" s="147"/>
    </row>
    <row r="60" spans="1:10" ht="15" x14ac:dyDescent="0.2">
      <c r="A60" s="147"/>
      <c r="B60" s="167"/>
      <c r="C60" s="168" t="s">
        <v>113</v>
      </c>
      <c r="D60" s="215">
        <f>D28*D30</f>
        <v>34800000</v>
      </c>
      <c r="E60" s="170"/>
      <c r="F60" s="147"/>
      <c r="G60" s="147"/>
      <c r="H60" s="147"/>
    </row>
    <row r="61" spans="1:10" ht="15" x14ac:dyDescent="0.2">
      <c r="A61" s="147"/>
      <c r="B61" s="167"/>
      <c r="C61" s="168" t="s">
        <v>114</v>
      </c>
      <c r="D61" s="214">
        <f>SUM(D58:D60)</f>
        <v>978400000</v>
      </c>
      <c r="E61" s="170"/>
      <c r="F61" s="147"/>
      <c r="G61" s="147"/>
      <c r="H61" s="147"/>
    </row>
    <row r="62" spans="1:10" ht="15" x14ac:dyDescent="0.2">
      <c r="A62" s="147"/>
      <c r="B62" s="167"/>
      <c r="C62" s="168"/>
      <c r="D62" s="214"/>
      <c r="E62" s="170"/>
      <c r="F62" s="147"/>
      <c r="G62" s="147"/>
      <c r="H62" s="147"/>
    </row>
    <row r="63" spans="1:10" ht="15" x14ac:dyDescent="0.2">
      <c r="A63" s="147"/>
      <c r="B63" s="167"/>
      <c r="C63" s="168" t="s">
        <v>38</v>
      </c>
      <c r="D63" s="216">
        <f>D58/D61</f>
        <v>0.27636958299264103</v>
      </c>
      <c r="E63" s="170"/>
      <c r="F63" s="147"/>
      <c r="G63" s="147"/>
      <c r="H63" s="147"/>
    </row>
    <row r="64" spans="1:10" ht="15" x14ac:dyDescent="0.2">
      <c r="A64" s="147"/>
      <c r="B64" s="167"/>
      <c r="C64" s="168" t="s">
        <v>37</v>
      </c>
      <c r="D64" s="216">
        <f>D59/D61</f>
        <v>0.68806214227309892</v>
      </c>
      <c r="E64" s="170"/>
      <c r="F64" s="147"/>
      <c r="G64" s="147"/>
      <c r="H64" s="147"/>
    </row>
    <row r="65" spans="1:8" ht="15" x14ac:dyDescent="0.2">
      <c r="A65" s="147"/>
      <c r="B65" s="167"/>
      <c r="C65" s="168" t="s">
        <v>45</v>
      </c>
      <c r="D65" s="216">
        <f>D60/D61</f>
        <v>3.5568274734260018E-2</v>
      </c>
      <c r="E65" s="170"/>
      <c r="F65" s="147"/>
      <c r="G65" s="147"/>
      <c r="H65" s="147"/>
    </row>
    <row r="66" spans="1:8" ht="15" x14ac:dyDescent="0.2">
      <c r="A66" s="147"/>
      <c r="B66" s="167"/>
      <c r="C66" s="168"/>
      <c r="D66" s="216"/>
      <c r="E66" s="170"/>
      <c r="F66" s="147"/>
      <c r="G66" s="147"/>
      <c r="H66" s="147"/>
    </row>
    <row r="67" spans="1:8" ht="15" x14ac:dyDescent="0.2">
      <c r="A67" s="147"/>
      <c r="B67" s="167" t="s">
        <v>84</v>
      </c>
      <c r="C67" s="168" t="s">
        <v>175</v>
      </c>
      <c r="D67" s="216">
        <f>D63*D39+D64*D37+D65*D38</f>
        <v>5.461569910057236E-2</v>
      </c>
      <c r="E67" s="170"/>
      <c r="F67" s="147"/>
      <c r="G67" s="147"/>
      <c r="H67" s="147"/>
    </row>
    <row r="68" spans="1:8" ht="15" x14ac:dyDescent="0.2">
      <c r="A68" s="147"/>
      <c r="B68" s="167"/>
      <c r="C68" s="168" t="s">
        <v>204</v>
      </c>
      <c r="D68" s="217"/>
      <c r="E68" s="170"/>
      <c r="F68" s="147"/>
      <c r="G68" s="147"/>
      <c r="H68" s="147"/>
    </row>
    <row r="69" spans="1:8" ht="15" x14ac:dyDescent="0.2">
      <c r="A69" s="147"/>
      <c r="B69" s="167"/>
      <c r="C69" s="168" t="s">
        <v>205</v>
      </c>
      <c r="D69" s="217"/>
      <c r="E69" s="170"/>
      <c r="F69" s="147"/>
      <c r="G69" s="147"/>
      <c r="H69" s="147"/>
    </row>
    <row r="70" spans="1:8" ht="15" x14ac:dyDescent="0.2">
      <c r="A70" s="147"/>
      <c r="B70" s="167"/>
      <c r="C70" s="168" t="s">
        <v>125</v>
      </c>
      <c r="D70" s="128">
        <f>-D8</f>
        <v>-7500000</v>
      </c>
      <c r="E70" s="170"/>
      <c r="F70" s="147"/>
      <c r="G70" s="147"/>
      <c r="H70" s="147"/>
    </row>
    <row r="71" spans="1:8" ht="15" x14ac:dyDescent="0.2">
      <c r="A71" s="147"/>
      <c r="B71" s="167"/>
      <c r="C71" s="168" t="s">
        <v>210</v>
      </c>
      <c r="D71" s="225">
        <f>-D10/(1-D67)</f>
        <v>-58177399.336622834</v>
      </c>
      <c r="E71" s="170"/>
      <c r="F71" s="147"/>
      <c r="G71" s="147"/>
      <c r="H71" s="147"/>
    </row>
    <row r="72" spans="1:8" ht="15" x14ac:dyDescent="0.2">
      <c r="A72" s="147"/>
      <c r="B72" s="167"/>
      <c r="C72" s="168" t="s">
        <v>121</v>
      </c>
      <c r="D72" s="225">
        <f>IF(D43="No",-D41,-D41/(1-D67))</f>
        <v>-2500000</v>
      </c>
      <c r="E72" s="170"/>
      <c r="F72" s="147"/>
      <c r="G72" s="147"/>
      <c r="H72" s="147"/>
    </row>
    <row r="73" spans="1:8" ht="15.75" x14ac:dyDescent="0.25">
      <c r="A73" s="147"/>
      <c r="B73" s="167"/>
      <c r="C73" s="168"/>
      <c r="D73" s="129">
        <f>D70+D71+D72</f>
        <v>-68177399.336622834</v>
      </c>
      <c r="E73" s="170"/>
      <c r="F73" s="147"/>
      <c r="G73" s="147"/>
      <c r="H73" s="147"/>
    </row>
    <row r="74" spans="1:8" ht="15" x14ac:dyDescent="0.2">
      <c r="A74" s="147"/>
      <c r="B74" s="167"/>
      <c r="C74" s="168"/>
      <c r="D74" s="248"/>
      <c r="E74" s="170"/>
      <c r="F74" s="147"/>
      <c r="G74" s="147"/>
      <c r="H74" s="147"/>
    </row>
    <row r="75" spans="1:8" ht="15" x14ac:dyDescent="0.2">
      <c r="A75" s="147"/>
      <c r="B75" s="167" t="s">
        <v>85</v>
      </c>
      <c r="C75" s="168" t="s">
        <v>17</v>
      </c>
      <c r="D75" s="171">
        <f>YIELD(D14,D15,D16,D19,D18,D17)</f>
        <v>5.795097397413259E-2</v>
      </c>
      <c r="E75" s="170"/>
      <c r="F75" s="147"/>
      <c r="G75" s="147"/>
      <c r="H75" s="147"/>
    </row>
    <row r="76" spans="1:8" ht="15" x14ac:dyDescent="0.2">
      <c r="A76" s="147"/>
      <c r="B76" s="167"/>
      <c r="C76" s="168" t="s">
        <v>16</v>
      </c>
      <c r="D76" s="171">
        <f>D75*(1-D40)</f>
        <v>4.3463230480599441E-2</v>
      </c>
      <c r="E76" s="170"/>
      <c r="F76" s="147"/>
      <c r="G76" s="147"/>
      <c r="H76" s="147"/>
    </row>
    <row r="77" spans="1:8" ht="15" x14ac:dyDescent="0.2">
      <c r="A77" s="147"/>
      <c r="B77" s="167"/>
      <c r="C77" s="168" t="s">
        <v>4</v>
      </c>
      <c r="D77" s="171">
        <f>D35+(D24*D34)</f>
        <v>0.115</v>
      </c>
      <c r="E77" s="170"/>
      <c r="F77" s="147"/>
      <c r="G77" s="147"/>
      <c r="H77" s="147"/>
    </row>
    <row r="78" spans="1:8" ht="15" x14ac:dyDescent="0.2">
      <c r="A78" s="147"/>
      <c r="B78" s="167"/>
      <c r="C78" s="168" t="s">
        <v>115</v>
      </c>
      <c r="D78" s="171">
        <f>(D29*D31)/D30</f>
        <v>4.8275862068965517E-2</v>
      </c>
      <c r="E78" s="170"/>
      <c r="F78" s="147"/>
      <c r="G78" s="147"/>
      <c r="H78" s="147"/>
    </row>
    <row r="79" spans="1:8" ht="15" x14ac:dyDescent="0.2">
      <c r="A79" s="147"/>
      <c r="B79" s="167"/>
      <c r="C79" s="168" t="s">
        <v>29</v>
      </c>
      <c r="D79" s="171">
        <f>((D58/D61)*D76)+((D59/D61)*D77)+((D60/D61)*D78)</f>
        <v>9.2856150369944893E-2</v>
      </c>
      <c r="E79" s="170"/>
      <c r="F79" s="147"/>
      <c r="G79" s="147"/>
      <c r="H79" s="147"/>
    </row>
    <row r="80" spans="1:8" ht="15" x14ac:dyDescent="0.2">
      <c r="A80" s="147"/>
      <c r="B80" s="167"/>
      <c r="C80" s="168"/>
      <c r="D80" s="171"/>
      <c r="E80" s="170"/>
      <c r="F80" s="147"/>
      <c r="G80" s="147"/>
      <c r="H80" s="147"/>
    </row>
    <row r="81" spans="1:8" ht="15.75" x14ac:dyDescent="0.25">
      <c r="A81" s="147"/>
      <c r="B81" s="167"/>
      <c r="C81" s="168" t="s">
        <v>126</v>
      </c>
      <c r="D81" s="169">
        <f>D79+D45</f>
        <v>0.1128561503699449</v>
      </c>
      <c r="E81" s="170"/>
      <c r="F81" s="147"/>
      <c r="G81" s="147"/>
      <c r="H81" s="147"/>
    </row>
    <row r="82" spans="1:8" ht="15.75" x14ac:dyDescent="0.25">
      <c r="A82" s="147"/>
      <c r="B82" s="167"/>
      <c r="C82" s="168"/>
      <c r="D82" s="172"/>
      <c r="E82" s="170"/>
      <c r="F82" s="147"/>
      <c r="G82" s="147"/>
      <c r="H82" s="147"/>
    </row>
    <row r="83" spans="1:8" ht="15" x14ac:dyDescent="0.2">
      <c r="A83" s="147"/>
      <c r="B83" s="167" t="s">
        <v>86</v>
      </c>
      <c r="C83" s="168" t="s">
        <v>127</v>
      </c>
      <c r="D83" s="125">
        <f>(((D46-D47)/D46)*D10)</f>
        <v>20625000</v>
      </c>
      <c r="E83" s="170"/>
      <c r="F83" s="147"/>
      <c r="G83" s="147"/>
      <c r="H83" s="147"/>
    </row>
    <row r="84" spans="1:8" ht="15.75" x14ac:dyDescent="0.25">
      <c r="A84" s="147"/>
      <c r="B84" s="167"/>
      <c r="C84" s="168" t="s">
        <v>70</v>
      </c>
      <c r="D84" s="55">
        <f>D48+(D40*(D83-D48))</f>
        <v>11831250</v>
      </c>
      <c r="E84" s="170"/>
      <c r="F84" s="147"/>
      <c r="G84" s="147"/>
      <c r="H84" s="147"/>
    </row>
    <row r="85" spans="1:8" ht="15.75" x14ac:dyDescent="0.25">
      <c r="A85" s="147"/>
      <c r="B85" s="167"/>
      <c r="C85" s="168"/>
      <c r="D85" s="54"/>
      <c r="E85" s="170"/>
      <c r="F85" s="147"/>
      <c r="G85" s="147"/>
      <c r="H85" s="147"/>
    </row>
    <row r="86" spans="1:8" ht="15" x14ac:dyDescent="0.2">
      <c r="A86" s="147"/>
      <c r="B86" s="167" t="s">
        <v>124</v>
      </c>
      <c r="C86" s="168" t="s">
        <v>128</v>
      </c>
      <c r="D86" s="131">
        <f>D50*D51</f>
        <v>214600000</v>
      </c>
      <c r="E86" s="170"/>
      <c r="F86" s="147"/>
      <c r="G86" s="147"/>
      <c r="H86" s="147"/>
    </row>
    <row r="87" spans="1:8" ht="15" x14ac:dyDescent="0.2">
      <c r="A87" s="147"/>
      <c r="B87" s="167"/>
      <c r="C87" s="168" t="s">
        <v>129</v>
      </c>
      <c r="D87" s="222">
        <f>-D50*D52</f>
        <v>-180375000</v>
      </c>
      <c r="E87" s="170"/>
      <c r="F87" s="147"/>
      <c r="G87" s="147"/>
      <c r="H87" s="147"/>
    </row>
    <row r="88" spans="1:8" ht="15" x14ac:dyDescent="0.2">
      <c r="A88" s="147"/>
      <c r="B88" s="167"/>
      <c r="C88" s="168" t="s">
        <v>130</v>
      </c>
      <c r="D88" s="222">
        <f>-D49</f>
        <v>-8100000</v>
      </c>
      <c r="E88" s="170"/>
      <c r="F88" s="147"/>
      <c r="G88" s="147"/>
      <c r="H88" s="147"/>
    </row>
    <row r="89" spans="1:8" ht="15" x14ac:dyDescent="0.2">
      <c r="A89" s="147"/>
      <c r="B89" s="167"/>
      <c r="C89" s="168" t="s">
        <v>131</v>
      </c>
      <c r="D89" s="223">
        <f>-D10/D46</f>
        <v>-6875000</v>
      </c>
      <c r="E89" s="170"/>
      <c r="F89" s="147"/>
      <c r="G89" s="147"/>
      <c r="H89" s="147"/>
    </row>
    <row r="90" spans="1:8" ht="15" x14ac:dyDescent="0.2">
      <c r="A90" s="147"/>
      <c r="B90" s="167"/>
      <c r="C90" s="168" t="s">
        <v>132</v>
      </c>
      <c r="D90" s="131">
        <f>SUM(D86:D89)</f>
        <v>19250000</v>
      </c>
      <c r="E90" s="170"/>
      <c r="F90" s="147"/>
      <c r="G90" s="147"/>
      <c r="H90" s="147"/>
    </row>
    <row r="91" spans="1:8" ht="15" x14ac:dyDescent="0.2">
      <c r="A91" s="147"/>
      <c r="B91" s="167"/>
      <c r="C91" s="168" t="s">
        <v>133</v>
      </c>
      <c r="D91" s="223">
        <f>-D90*D40</f>
        <v>-4812500</v>
      </c>
      <c r="E91" s="170"/>
      <c r="F91" s="147"/>
      <c r="G91" s="147"/>
      <c r="H91" s="147"/>
    </row>
    <row r="92" spans="1:8" ht="15" x14ac:dyDescent="0.2">
      <c r="A92" s="147"/>
      <c r="B92" s="167"/>
      <c r="C92" s="168" t="s">
        <v>134</v>
      </c>
      <c r="D92" s="131">
        <f>D90+D91</f>
        <v>14437500</v>
      </c>
      <c r="E92" s="170"/>
      <c r="F92" s="147"/>
      <c r="G92" s="147"/>
      <c r="H92" s="147"/>
    </row>
    <row r="93" spans="1:8" ht="15" x14ac:dyDescent="0.2">
      <c r="A93" s="147"/>
      <c r="B93" s="167"/>
      <c r="C93" s="168" t="s">
        <v>131</v>
      </c>
      <c r="D93" s="222">
        <f>-D89</f>
        <v>6875000</v>
      </c>
      <c r="E93" s="170"/>
      <c r="F93" s="147"/>
      <c r="G93" s="147"/>
      <c r="H93" s="147"/>
    </row>
    <row r="94" spans="1:8" ht="15.75" x14ac:dyDescent="0.25">
      <c r="A94" s="147"/>
      <c r="B94" s="167"/>
      <c r="C94" s="168" t="s">
        <v>135</v>
      </c>
      <c r="D94" s="55">
        <f>D92+D93</f>
        <v>21312500</v>
      </c>
      <c r="E94" s="170"/>
      <c r="F94" s="147"/>
      <c r="G94" s="147"/>
      <c r="H94" s="147"/>
    </row>
    <row r="95" spans="1:8" ht="15.75" x14ac:dyDescent="0.25">
      <c r="A95" s="147"/>
      <c r="B95" s="167"/>
      <c r="C95" s="168"/>
      <c r="D95" s="54"/>
      <c r="E95" s="170"/>
      <c r="F95" s="147"/>
      <c r="G95" s="147"/>
      <c r="H95" s="147"/>
    </row>
    <row r="96" spans="1:8" ht="15.75" x14ac:dyDescent="0.25">
      <c r="A96" s="147"/>
      <c r="B96" s="167" t="s">
        <v>136</v>
      </c>
      <c r="C96" s="168" t="s">
        <v>262</v>
      </c>
      <c r="D96" s="136">
        <f>(D49+(D10/D46))/(D51-D52)</f>
        <v>8094.594594594595</v>
      </c>
      <c r="E96" s="170"/>
      <c r="F96" s="147"/>
      <c r="G96" s="147"/>
      <c r="H96" s="147"/>
    </row>
    <row r="97" spans="1:10" ht="15" x14ac:dyDescent="0.2">
      <c r="A97" s="147"/>
      <c r="B97" s="167"/>
      <c r="C97" s="168"/>
      <c r="D97" s="64"/>
      <c r="E97" s="170"/>
      <c r="F97" s="147"/>
      <c r="G97" s="147"/>
      <c r="H97" s="147"/>
    </row>
    <row r="98" spans="1:10" ht="15" x14ac:dyDescent="0.2">
      <c r="A98" s="147"/>
      <c r="B98" s="167" t="s">
        <v>139</v>
      </c>
      <c r="C98" s="218" t="s">
        <v>137</v>
      </c>
      <c r="D98" s="132" t="s">
        <v>138</v>
      </c>
      <c r="E98" s="170"/>
      <c r="F98" s="147"/>
      <c r="G98" s="147"/>
      <c r="H98" s="147"/>
    </row>
    <row r="99" spans="1:10" ht="15" x14ac:dyDescent="0.2">
      <c r="A99" s="147"/>
      <c r="B99" s="167"/>
      <c r="C99" s="219">
        <v>0</v>
      </c>
      <c r="D99" s="133">
        <f>D73</f>
        <v>-68177399.336622834</v>
      </c>
      <c r="E99" s="170"/>
      <c r="F99" s="147"/>
      <c r="G99" s="147"/>
      <c r="H99" s="147"/>
    </row>
    <row r="100" spans="1:10" ht="15" x14ac:dyDescent="0.2">
      <c r="A100" s="147"/>
      <c r="B100" s="167"/>
      <c r="C100" s="219">
        <v>1</v>
      </c>
      <c r="D100" s="224">
        <f>D94</f>
        <v>21312500</v>
      </c>
      <c r="E100" s="170"/>
      <c r="F100" s="147"/>
      <c r="G100" s="147"/>
      <c r="H100" s="147"/>
    </row>
    <row r="101" spans="1:10" ht="15" x14ac:dyDescent="0.2">
      <c r="A101" s="147"/>
      <c r="B101" s="167"/>
      <c r="C101" s="219">
        <v>2</v>
      </c>
      <c r="D101" s="224">
        <f>D94</f>
        <v>21312500</v>
      </c>
      <c r="E101" s="170"/>
      <c r="F101" s="147"/>
      <c r="G101" s="147"/>
      <c r="H101" s="147"/>
    </row>
    <row r="102" spans="1:10" ht="15" x14ac:dyDescent="0.2">
      <c r="A102" s="147"/>
      <c r="B102" s="167"/>
      <c r="C102" s="219">
        <v>3</v>
      </c>
      <c r="D102" s="224">
        <f>D94</f>
        <v>21312500</v>
      </c>
      <c r="E102" s="170"/>
      <c r="F102" s="147"/>
      <c r="G102" s="147"/>
      <c r="H102" s="147"/>
    </row>
    <row r="103" spans="1:10" ht="15" x14ac:dyDescent="0.2">
      <c r="A103" s="147"/>
      <c r="B103" s="167"/>
      <c r="C103" s="219">
        <v>4</v>
      </c>
      <c r="D103" s="224">
        <f>D94</f>
        <v>21312500</v>
      </c>
      <c r="E103" s="170"/>
      <c r="F103" s="147"/>
      <c r="G103" s="147"/>
      <c r="H103" s="147"/>
    </row>
    <row r="104" spans="1:10" ht="15" x14ac:dyDescent="0.2">
      <c r="A104" s="147"/>
      <c r="B104" s="167"/>
      <c r="C104" s="219">
        <v>5</v>
      </c>
      <c r="D104" s="224">
        <f>D94+D84+D41+D9</f>
        <v>43543750</v>
      </c>
      <c r="E104" s="170"/>
      <c r="F104" s="147"/>
      <c r="G104" s="147"/>
      <c r="H104" s="147"/>
    </row>
    <row r="105" spans="1:10" ht="15.75" x14ac:dyDescent="0.25">
      <c r="A105" s="147"/>
      <c r="B105" s="167"/>
      <c r="C105" s="168"/>
      <c r="D105" s="54"/>
      <c r="E105" s="170"/>
      <c r="F105" s="147"/>
      <c r="G105" s="147"/>
      <c r="H105" s="147"/>
    </row>
    <row r="106" spans="1:10" ht="15.75" x14ac:dyDescent="0.25">
      <c r="A106" s="147"/>
      <c r="B106" s="167"/>
      <c r="C106" s="168" t="s">
        <v>71</v>
      </c>
      <c r="D106" s="134">
        <f>IRR(D99:D104)</f>
        <v>0.22665712080387079</v>
      </c>
      <c r="E106" s="170"/>
      <c r="F106" s="147"/>
      <c r="G106" s="147"/>
      <c r="H106" s="147"/>
    </row>
    <row r="107" spans="1:10" ht="15.75" x14ac:dyDescent="0.25">
      <c r="A107" s="147"/>
      <c r="B107" s="167"/>
      <c r="C107" s="168" t="s">
        <v>59</v>
      </c>
      <c r="D107" s="135">
        <f>NPV(D81,D100:D104)+D99</f>
        <v>23053458.003009796</v>
      </c>
      <c r="E107" s="170"/>
      <c r="F107" s="147"/>
      <c r="G107" s="147"/>
      <c r="H107" s="147"/>
    </row>
    <row r="108" spans="1:10" ht="15.75" thickBot="1" x14ac:dyDescent="0.25">
      <c r="A108" s="147"/>
      <c r="B108" s="173"/>
      <c r="C108" s="174"/>
      <c r="D108" s="190"/>
      <c r="E108" s="175"/>
      <c r="F108" s="147"/>
      <c r="G108" s="147"/>
      <c r="H108" s="147"/>
    </row>
    <row r="109" spans="1:10" ht="15" x14ac:dyDescent="0.2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</row>
    <row r="110" spans="1:10" ht="15" x14ac:dyDescent="0.2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</row>
    <row r="111" spans="1:10" ht="15" x14ac:dyDescent="0.2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</row>
    <row r="112" spans="1:10" ht="15" x14ac:dyDescent="0.2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</row>
    <row r="113" spans="1:10" ht="15" x14ac:dyDescent="0.2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</row>
    <row r="114" spans="1:10" ht="15" x14ac:dyDescent="0.2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</row>
    <row r="115" spans="1:10" ht="15" x14ac:dyDescent="0.2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</row>
    <row r="116" spans="1:10" ht="15" x14ac:dyDescent="0.2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</row>
    <row r="117" spans="1:10" ht="15" x14ac:dyDescent="0.2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</row>
    <row r="118" spans="1:10" ht="15" x14ac:dyDescent="0.2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</row>
    <row r="119" spans="1:10" ht="15" x14ac:dyDescent="0.2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</row>
    <row r="120" spans="1:10" ht="15" x14ac:dyDescent="0.2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</row>
    <row r="121" spans="1:10" ht="15" x14ac:dyDescent="0.2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</row>
    <row r="122" spans="1:10" ht="15" x14ac:dyDescent="0.2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</row>
    <row r="123" spans="1:10" ht="15" x14ac:dyDescent="0.2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</row>
    <row r="124" spans="1:10" ht="15" x14ac:dyDescent="0.2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</row>
    <row r="125" spans="1:10" ht="15" x14ac:dyDescent="0.2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</row>
    <row r="126" spans="1:10" ht="15" x14ac:dyDescent="0.2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</row>
    <row r="127" spans="1:10" ht="15" x14ac:dyDescent="0.2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</row>
    <row r="128" spans="1:10" ht="15" x14ac:dyDescent="0.2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</row>
    <row r="129" spans="1:10" ht="15" x14ac:dyDescent="0.2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</row>
    <row r="130" spans="1:10" ht="15" x14ac:dyDescent="0.2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</row>
    <row r="131" spans="1:10" ht="15" x14ac:dyDescent="0.2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</row>
    <row r="132" spans="1:10" ht="15" x14ac:dyDescent="0.2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</row>
    <row r="133" spans="1:10" ht="15" x14ac:dyDescent="0.2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</row>
    <row r="134" spans="1:10" ht="15" x14ac:dyDescent="0.2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</row>
    <row r="135" spans="1:10" ht="15" x14ac:dyDescent="0.2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</row>
    <row r="136" spans="1:10" ht="15" x14ac:dyDescent="0.2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</row>
    <row r="137" spans="1:10" ht="15" x14ac:dyDescent="0.2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</row>
    <row r="138" spans="1:10" ht="15" x14ac:dyDescent="0.2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</row>
    <row r="139" spans="1:10" ht="15" x14ac:dyDescent="0.2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</row>
    <row r="140" spans="1:10" ht="15" x14ac:dyDescent="0.2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</row>
    <row r="141" spans="1:10" ht="15" x14ac:dyDescent="0.2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</row>
    <row r="142" spans="1:10" ht="15" x14ac:dyDescent="0.2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</row>
    <row r="143" spans="1:10" ht="15" x14ac:dyDescent="0.2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</row>
    <row r="144" spans="1:10" ht="15" x14ac:dyDescent="0.2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</row>
    <row r="145" spans="1:10" ht="15" x14ac:dyDescent="0.2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</row>
    <row r="146" spans="1:10" ht="15" x14ac:dyDescent="0.2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</row>
    <row r="147" spans="1:10" ht="15" x14ac:dyDescent="0.2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</row>
    <row r="148" spans="1:10" ht="15" x14ac:dyDescent="0.2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</row>
    <row r="149" spans="1:10" ht="15" x14ac:dyDescent="0.2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</row>
    <row r="150" spans="1:10" ht="15" x14ac:dyDescent="0.2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</row>
    <row r="151" spans="1:10" ht="15" x14ac:dyDescent="0.2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</row>
    <row r="152" spans="1:10" ht="15" x14ac:dyDescent="0.2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</row>
    <row r="153" spans="1:10" ht="15" x14ac:dyDescent="0.2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</row>
    <row r="154" spans="1:10" ht="15" x14ac:dyDescent="0.2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</row>
    <row r="155" spans="1:10" ht="15" x14ac:dyDescent="0.2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</row>
    <row r="156" spans="1:10" ht="15" x14ac:dyDescent="0.2">
      <c r="A156" s="147"/>
      <c r="B156" s="147"/>
      <c r="C156" s="147"/>
      <c r="D156" s="147"/>
      <c r="E156" s="147"/>
      <c r="F156" s="147"/>
      <c r="G156" s="147"/>
      <c r="H156" s="147"/>
      <c r="I156" s="147"/>
      <c r="J156" s="147"/>
    </row>
    <row r="157" spans="1:10" ht="15" x14ac:dyDescent="0.2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</row>
    <row r="158" spans="1:10" ht="15" x14ac:dyDescent="0.2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</row>
    <row r="159" spans="1:10" ht="15" x14ac:dyDescent="0.2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</row>
    <row r="160" spans="1:10" ht="15" x14ac:dyDescent="0.2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</row>
    <row r="161" spans="1:10" ht="15" x14ac:dyDescent="0.2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</row>
  </sheetData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54" max="16383" man="1"/>
  </rowBreaks>
  <ignoredErrors>
    <ignoredError sqref="D9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5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40" t="s">
        <v>79</v>
      </c>
      <c r="D7" s="84">
        <v>36526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40" t="s">
        <v>80</v>
      </c>
      <c r="D8" s="84">
        <v>42736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81</v>
      </c>
      <c r="D9" s="85">
        <v>95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19</v>
      </c>
      <c r="D10" s="78">
        <v>0.06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82</v>
      </c>
      <c r="D11" s="85">
        <v>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11" t="s">
        <v>14</v>
      </c>
      <c r="D12" s="78">
        <v>0.21</v>
      </c>
      <c r="E12" s="7"/>
      <c r="F12" s="1"/>
      <c r="G12" s="1"/>
      <c r="H12" s="1"/>
      <c r="I12" s="1"/>
      <c r="J12" s="1"/>
    </row>
    <row r="13" spans="1:10" ht="15.75" customHeight="1" thickBot="1" x14ac:dyDescent="0.25">
      <c r="A13" s="1"/>
      <c r="B13" s="8"/>
      <c r="C13" s="12"/>
      <c r="D13" s="9"/>
      <c r="E13" s="10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5">
      <c r="A18" s="1"/>
      <c r="B18" s="16"/>
      <c r="C18" s="17" t="s">
        <v>83</v>
      </c>
      <c r="D18" s="22">
        <f>YIELD(D7,D8,D10,D9,100,+D11)</f>
        <v>6.4899113044564208E-2</v>
      </c>
      <c r="E18" s="18"/>
      <c r="F18" s="1"/>
      <c r="G18" s="1"/>
      <c r="H18" s="1"/>
      <c r="I18" s="1"/>
      <c r="J18" s="1"/>
    </row>
    <row r="19" spans="1:10" ht="15.75" customHeight="1" x14ac:dyDescent="0.25">
      <c r="A19" s="1"/>
      <c r="B19" s="16"/>
      <c r="C19" s="17" t="s">
        <v>16</v>
      </c>
      <c r="D19" s="22">
        <f>D18*(1-D12)</f>
        <v>5.1270299305205727E-2</v>
      </c>
      <c r="E19" s="18"/>
      <c r="F19" s="1"/>
      <c r="G19" s="1"/>
      <c r="H19" s="1"/>
      <c r="I19" s="1"/>
      <c r="J19" s="1"/>
    </row>
    <row r="20" spans="1:10" ht="15.75" customHeight="1" thickBot="1" x14ac:dyDescent="0.25">
      <c r="A20" s="1"/>
      <c r="B20" s="19"/>
      <c r="C20" s="20"/>
      <c r="D20" s="20"/>
      <c r="E20" s="2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bestFit="1" customWidth="1"/>
    <col min="4" max="4" width="20.28515625" customWidth="1"/>
    <col min="5" max="5" width="3.8554687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11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40" t="s">
        <v>79</v>
      </c>
      <c r="D7" s="84">
        <v>36526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40" t="s">
        <v>80</v>
      </c>
      <c r="D8" s="84">
        <v>46388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81</v>
      </c>
      <c r="D9" s="85">
        <v>106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19</v>
      </c>
      <c r="D10" s="94">
        <v>5.8999999999999997E-2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82</v>
      </c>
      <c r="D11" s="85">
        <v>2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11" t="s">
        <v>14</v>
      </c>
      <c r="D12" s="78">
        <v>0.22</v>
      </c>
      <c r="E12" s="7"/>
      <c r="F12" s="1"/>
      <c r="G12" s="1"/>
      <c r="H12" s="1"/>
      <c r="I12" s="1"/>
      <c r="J12" s="1"/>
    </row>
    <row r="13" spans="1:10" ht="15.75" customHeight="1" thickBot="1" x14ac:dyDescent="0.25">
      <c r="A13" s="1"/>
      <c r="B13" s="8"/>
      <c r="C13" s="12"/>
      <c r="D13" s="9"/>
      <c r="E13" s="10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"/>
      <c r="C15" s="2" t="s">
        <v>2</v>
      </c>
      <c r="D15" s="1"/>
      <c r="E15" s="1"/>
      <c r="F15" s="1"/>
      <c r="G15" s="1"/>
      <c r="H15" s="1"/>
      <c r="I15" s="1"/>
      <c r="J15" s="1"/>
    </row>
    <row r="16" spans="1:10" ht="15.75" customHeight="1" thickBo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customHeight="1" x14ac:dyDescent="0.2">
      <c r="A17" s="1"/>
      <c r="B17" s="13"/>
      <c r="C17" s="14"/>
      <c r="D17" s="14"/>
      <c r="E17" s="15"/>
      <c r="F17" s="1"/>
      <c r="G17" s="1"/>
      <c r="H17" s="1"/>
      <c r="I17" s="1"/>
      <c r="J17" s="1"/>
    </row>
    <row r="18" spans="1:10" ht="15.75" customHeight="1" x14ac:dyDescent="0.25">
      <c r="A18" s="1"/>
      <c r="B18" s="86" t="s">
        <v>84</v>
      </c>
      <c r="C18" s="17" t="s">
        <v>17</v>
      </c>
      <c r="D18" s="22">
        <f>YIELD(D7,D8,D10,D9,100,+D11)</f>
        <v>5.4720537116593235E-2</v>
      </c>
      <c r="E18" s="18"/>
      <c r="F18" s="1"/>
      <c r="G18" s="1"/>
      <c r="H18" s="1"/>
      <c r="I18" s="1"/>
      <c r="J18" s="1"/>
    </row>
    <row r="19" spans="1:10" ht="15.75" customHeight="1" x14ac:dyDescent="0.25">
      <c r="A19" s="1"/>
      <c r="B19" s="86" t="s">
        <v>85</v>
      </c>
      <c r="C19" s="17" t="s">
        <v>16</v>
      </c>
      <c r="D19" s="22">
        <f>D18*(1-D12)</f>
        <v>4.2682018950942723E-2</v>
      </c>
      <c r="E19" s="18"/>
      <c r="F19" s="1"/>
      <c r="G19" s="1"/>
      <c r="H19" s="1"/>
      <c r="I19" s="1"/>
      <c r="J19" s="1"/>
    </row>
    <row r="20" spans="1:10" ht="15.75" customHeight="1" x14ac:dyDescent="0.25">
      <c r="A20" s="1"/>
      <c r="B20" s="86" t="s">
        <v>86</v>
      </c>
      <c r="C20" s="17" t="s">
        <v>197</v>
      </c>
      <c r="D20" s="26"/>
      <c r="E20" s="18"/>
      <c r="F20" s="1"/>
      <c r="G20" s="1"/>
      <c r="H20" s="1"/>
      <c r="I20" s="1"/>
      <c r="J20" s="1"/>
    </row>
    <row r="21" spans="1:10" ht="15.75" customHeight="1" x14ac:dyDescent="0.25">
      <c r="A21" s="1"/>
      <c r="B21" s="16"/>
      <c r="C21" s="17" t="s">
        <v>20</v>
      </c>
      <c r="D21" s="26"/>
      <c r="E21" s="18"/>
      <c r="F21" s="1"/>
      <c r="G21" s="1"/>
      <c r="H21" s="1"/>
      <c r="I21" s="1"/>
      <c r="J21" s="1"/>
    </row>
    <row r="22" spans="1:10" ht="15.75" customHeight="1" thickBot="1" x14ac:dyDescent="0.25">
      <c r="A22" s="1"/>
      <c r="B22" s="19"/>
      <c r="C22" s="20"/>
      <c r="D22" s="20"/>
      <c r="E22" s="2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12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87</v>
      </c>
      <c r="D7" s="83">
        <v>25000000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24" t="s">
        <v>88</v>
      </c>
      <c r="D8" s="78"/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40" t="s">
        <v>89</v>
      </c>
      <c r="D9" s="84">
        <v>36526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40" t="s">
        <v>90</v>
      </c>
      <c r="D10" s="84">
        <v>39814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40" t="s">
        <v>91</v>
      </c>
      <c r="D11" s="78">
        <v>0</v>
      </c>
      <c r="E11" s="7"/>
      <c r="F11" s="1"/>
      <c r="G11" s="1"/>
      <c r="H11" s="1"/>
      <c r="I11" s="1"/>
      <c r="J11" s="1"/>
    </row>
    <row r="12" spans="1:10" ht="15.75" customHeight="1" x14ac:dyDescent="0.2">
      <c r="A12" s="1"/>
      <c r="B12" s="6"/>
      <c r="C12" s="40" t="s">
        <v>92</v>
      </c>
      <c r="D12" s="87">
        <v>2</v>
      </c>
      <c r="E12" s="7"/>
      <c r="F12" s="1"/>
      <c r="G12" s="1"/>
      <c r="H12" s="1"/>
      <c r="I12" s="1"/>
      <c r="J12" s="1"/>
    </row>
    <row r="13" spans="1:10" ht="15.75" customHeight="1" x14ac:dyDescent="0.2">
      <c r="A13" s="1"/>
      <c r="B13" s="6"/>
      <c r="C13" s="40" t="s">
        <v>93</v>
      </c>
      <c r="D13" s="85">
        <v>68</v>
      </c>
      <c r="E13" s="7"/>
      <c r="F13" s="1"/>
      <c r="G13" s="1"/>
      <c r="H13" s="1"/>
      <c r="I13" s="1"/>
      <c r="J13" s="1"/>
    </row>
    <row r="14" spans="1:10" ht="15.75" customHeight="1" x14ac:dyDescent="0.2">
      <c r="A14" s="1"/>
      <c r="B14" s="6"/>
      <c r="C14" s="40" t="s">
        <v>14</v>
      </c>
      <c r="D14" s="88">
        <f>'#3'!D12</f>
        <v>0.22</v>
      </c>
      <c r="E14" s="7"/>
      <c r="F14" s="1"/>
      <c r="G14" s="1"/>
      <c r="H14" s="1"/>
      <c r="I14" s="1"/>
      <c r="J14" s="1"/>
    </row>
    <row r="15" spans="1:10" ht="15.75" customHeight="1" x14ac:dyDescent="0.2">
      <c r="A15" s="1"/>
      <c r="B15" s="6"/>
      <c r="C15" s="11" t="s">
        <v>22</v>
      </c>
      <c r="D15" s="83">
        <v>60000000</v>
      </c>
      <c r="E15" s="7"/>
      <c r="F15" s="1"/>
      <c r="G15" s="1"/>
      <c r="H15" s="1"/>
      <c r="I15" s="1"/>
      <c r="J15" s="1"/>
    </row>
    <row r="16" spans="1:10" ht="15.75" customHeight="1" thickBot="1" x14ac:dyDescent="0.25">
      <c r="A16" s="1"/>
      <c r="B16" s="8"/>
      <c r="C16" s="12"/>
      <c r="D16" s="9"/>
      <c r="E16" s="10"/>
      <c r="F16" s="1"/>
      <c r="G16" s="1"/>
      <c r="H16" s="1"/>
      <c r="I16" s="1"/>
      <c r="J16" s="1"/>
    </row>
    <row r="17" spans="1:10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2" t="s">
        <v>2</v>
      </c>
      <c r="D18" s="1"/>
      <c r="E18" s="1"/>
      <c r="F18" s="1"/>
      <c r="G18" s="1"/>
      <c r="H18" s="1"/>
      <c r="I18" s="1"/>
      <c r="J18" s="1"/>
    </row>
    <row r="19" spans="1:10" ht="15.75" customHeight="1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3"/>
      <c r="C20" s="14"/>
      <c r="D20" s="14"/>
      <c r="E20" s="15"/>
      <c r="F20" s="1"/>
      <c r="G20" s="1"/>
      <c r="H20" s="1"/>
      <c r="I20" s="1"/>
      <c r="J20" s="1"/>
    </row>
    <row r="21" spans="1:10" ht="15.75" customHeight="1" x14ac:dyDescent="0.25">
      <c r="A21" s="1"/>
      <c r="B21" s="16"/>
      <c r="C21" s="17" t="s">
        <v>23</v>
      </c>
      <c r="D21" s="90">
        <f>D7+D15</f>
        <v>85000000</v>
      </c>
      <c r="E21" s="18"/>
      <c r="F21" s="1"/>
      <c r="G21" s="1"/>
      <c r="H21" s="1"/>
      <c r="I21" s="1"/>
      <c r="J21" s="1"/>
    </row>
    <row r="22" spans="1:10" ht="15.75" customHeight="1" x14ac:dyDescent="0.25">
      <c r="A22" s="1"/>
      <c r="B22" s="16"/>
      <c r="C22" s="17"/>
      <c r="D22" s="89"/>
      <c r="E22" s="18"/>
      <c r="F22" s="1"/>
      <c r="G22" s="1"/>
      <c r="H22" s="1"/>
      <c r="I22" s="1"/>
      <c r="J22" s="1"/>
    </row>
    <row r="23" spans="1:10" ht="15.75" customHeight="1" x14ac:dyDescent="0.25">
      <c r="A23" s="1"/>
      <c r="B23" s="16"/>
      <c r="C23" s="17" t="s">
        <v>24</v>
      </c>
      <c r="D23" s="55">
        <f>(('#3'!D9/100)*D7)+((D13/100)*D15)</f>
        <v>67300000</v>
      </c>
      <c r="E23" s="18"/>
      <c r="F23" s="1"/>
      <c r="G23" s="1"/>
      <c r="H23" s="1"/>
      <c r="I23" s="1"/>
      <c r="J23" s="1"/>
    </row>
    <row r="24" spans="1:10" ht="15.75" customHeight="1" x14ac:dyDescent="0.25">
      <c r="A24" s="1"/>
      <c r="B24" s="16"/>
      <c r="C24" s="17"/>
      <c r="D24" s="26"/>
      <c r="E24" s="18"/>
      <c r="F24" s="1"/>
      <c r="G24" s="1"/>
      <c r="H24" s="1"/>
      <c r="I24" s="1"/>
      <c r="J24" s="1"/>
    </row>
    <row r="25" spans="1:10" ht="15.75" customHeight="1" x14ac:dyDescent="0.2">
      <c r="A25" s="1"/>
      <c r="B25" s="16"/>
      <c r="C25" s="17" t="s">
        <v>94</v>
      </c>
      <c r="D25" s="82">
        <f>YIELD(D9,D10,D11,D13,100,+D12)</f>
        <v>4.331374328444168E-2</v>
      </c>
      <c r="E25" s="18"/>
      <c r="F25" s="1"/>
      <c r="G25" s="1"/>
      <c r="H25" s="1"/>
      <c r="I25" s="1"/>
      <c r="J25" s="1"/>
    </row>
    <row r="26" spans="1:10" ht="15.75" customHeight="1" x14ac:dyDescent="0.2">
      <c r="A26" s="1"/>
      <c r="B26" s="16"/>
      <c r="C26" s="17"/>
      <c r="D26" s="91"/>
      <c r="E26" s="18"/>
      <c r="F26" s="1"/>
      <c r="G26" s="1"/>
      <c r="H26" s="1"/>
      <c r="I26" s="1"/>
      <c r="J26" s="1"/>
    </row>
    <row r="27" spans="1:10" ht="15.75" customHeight="1" x14ac:dyDescent="0.2">
      <c r="A27" s="1"/>
      <c r="B27" s="16"/>
      <c r="C27" s="17" t="s">
        <v>95</v>
      </c>
      <c r="D27" s="82">
        <f>D25*(1-D14)</f>
        <v>3.3784719761864514E-2</v>
      </c>
      <c r="E27" s="18"/>
      <c r="F27" s="1"/>
      <c r="G27" s="1"/>
      <c r="H27" s="1"/>
      <c r="I27" s="1"/>
      <c r="J27" s="1"/>
    </row>
    <row r="28" spans="1:10" ht="15.75" customHeight="1" x14ac:dyDescent="0.2">
      <c r="A28" s="1"/>
      <c r="B28" s="16"/>
      <c r="C28" s="17"/>
      <c r="D28" s="25"/>
      <c r="E28" s="18"/>
      <c r="F28" s="1"/>
      <c r="G28" s="1"/>
      <c r="H28" s="1"/>
      <c r="I28" s="1"/>
      <c r="J28" s="1"/>
    </row>
    <row r="29" spans="1:10" ht="15.75" customHeight="1" x14ac:dyDescent="0.25">
      <c r="A29" s="1"/>
      <c r="B29" s="16"/>
      <c r="C29" s="17" t="s">
        <v>16</v>
      </c>
      <c r="D29" s="22">
        <f>(((('#3'!D9/100)*D7)/D23)*'#3'!D19)+((((D13/100)*D15)/D23)*D27)</f>
        <v>3.7288113944785352E-2</v>
      </c>
      <c r="E29" s="18"/>
      <c r="F29" s="1"/>
      <c r="G29" s="1"/>
      <c r="H29" s="1"/>
      <c r="I29" s="1"/>
      <c r="J29" s="1"/>
    </row>
    <row r="30" spans="1:10" ht="15.75" customHeight="1" thickBot="1" x14ac:dyDescent="0.25">
      <c r="A30" s="1"/>
      <c r="B30" s="19"/>
      <c r="C30" s="20"/>
      <c r="D30" s="20"/>
      <c r="E30" s="2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13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26</v>
      </c>
      <c r="D7" s="78">
        <v>0.7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27</v>
      </c>
      <c r="D8" s="204">
        <f>1-D7</f>
        <v>0.30000000000000004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4</v>
      </c>
      <c r="D9" s="81">
        <v>0.109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28</v>
      </c>
      <c r="D10" s="81">
        <v>5.7000000000000002E-2</v>
      </c>
      <c r="E10" s="7"/>
      <c r="F10" s="1"/>
      <c r="G10" s="1"/>
      <c r="H10" s="1"/>
      <c r="I10" s="1"/>
      <c r="J10" s="1"/>
    </row>
    <row r="11" spans="1:10" ht="15.75" customHeight="1" x14ac:dyDescent="0.2">
      <c r="A11" s="1"/>
      <c r="B11" s="6"/>
      <c r="C11" s="11" t="s">
        <v>14</v>
      </c>
      <c r="D11" s="78">
        <v>0.23</v>
      </c>
      <c r="E11" s="7"/>
      <c r="F11" s="1"/>
      <c r="G11" s="1"/>
      <c r="H11" s="1"/>
      <c r="I11" s="1"/>
      <c r="J11" s="1"/>
    </row>
    <row r="12" spans="1:10" ht="15.75" customHeight="1" thickBot="1" x14ac:dyDescent="0.25">
      <c r="A12" s="1"/>
      <c r="B12" s="8"/>
      <c r="C12" s="12"/>
      <c r="D12" s="9"/>
      <c r="E12" s="10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customHeight="1" x14ac:dyDescent="0.2">
      <c r="A14" s="1"/>
      <c r="B14" s="1"/>
      <c r="C14" s="2" t="s">
        <v>2</v>
      </c>
      <c r="D14" s="1"/>
      <c r="E14" s="1"/>
      <c r="F14" s="1"/>
      <c r="G14" s="1"/>
      <c r="H14" s="1"/>
      <c r="I14" s="1"/>
      <c r="J14" s="1"/>
    </row>
    <row r="15" spans="1:10" ht="15.75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customHeight="1" x14ac:dyDescent="0.2">
      <c r="A16" s="1"/>
      <c r="B16" s="13"/>
      <c r="C16" s="14"/>
      <c r="D16" s="14"/>
      <c r="E16" s="15"/>
      <c r="F16" s="1"/>
      <c r="G16" s="1"/>
      <c r="H16" s="1"/>
      <c r="I16" s="1"/>
      <c r="J16" s="1"/>
    </row>
    <row r="17" spans="1:10" ht="15.75" customHeight="1" x14ac:dyDescent="0.25">
      <c r="A17" s="1"/>
      <c r="B17" s="86"/>
      <c r="C17" s="17" t="s">
        <v>29</v>
      </c>
      <c r="D17" s="22">
        <f>(D7*D9)+(D8*D10*(1-D11))</f>
        <v>8.9466999999999991E-2</v>
      </c>
      <c r="E17" s="18"/>
      <c r="F17" s="1"/>
      <c r="G17" s="1"/>
      <c r="H17" s="1"/>
      <c r="I17" s="1"/>
      <c r="J17" s="1"/>
    </row>
    <row r="18" spans="1:10" ht="15.75" customHeight="1" thickBot="1" x14ac:dyDescent="0.25">
      <c r="A18" s="1"/>
      <c r="B18" s="19"/>
      <c r="C18" s="20"/>
      <c r="D18" s="20"/>
      <c r="E18" s="2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15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31</v>
      </c>
      <c r="D7" s="93">
        <v>0.4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4</v>
      </c>
      <c r="D8" s="81">
        <v>0.11799999999999999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28</v>
      </c>
      <c r="D9" s="81">
        <v>6.5000000000000002E-2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14</v>
      </c>
      <c r="D10" s="78">
        <v>0.21</v>
      </c>
      <c r="E10" s="7"/>
      <c r="F10" s="1"/>
      <c r="G10" s="1"/>
      <c r="H10" s="1"/>
      <c r="I10" s="1"/>
      <c r="J10" s="1"/>
    </row>
    <row r="11" spans="1:10" ht="15.75" customHeight="1" thickBot="1" x14ac:dyDescent="0.25">
      <c r="A11" s="1"/>
      <c r="B11" s="8"/>
      <c r="C11" s="12"/>
      <c r="D11" s="9"/>
      <c r="E11" s="10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2" t="s">
        <v>2</v>
      </c>
      <c r="D13" s="1"/>
      <c r="E13" s="1"/>
      <c r="F13" s="1"/>
      <c r="G13" s="1"/>
      <c r="H13" s="1"/>
      <c r="I13" s="1"/>
      <c r="J13" s="1"/>
    </row>
    <row r="14" spans="1:10" ht="15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3"/>
      <c r="C15" s="14"/>
      <c r="D15" s="14"/>
      <c r="E15" s="15"/>
      <c r="F15" s="1"/>
      <c r="G15" s="1"/>
      <c r="H15" s="1"/>
      <c r="I15" s="1"/>
      <c r="J15" s="1"/>
    </row>
    <row r="16" spans="1:10" ht="15.75" customHeight="1" x14ac:dyDescent="0.25">
      <c r="A16" s="1"/>
      <c r="B16" s="16"/>
      <c r="C16" s="17" t="s">
        <v>29</v>
      </c>
      <c r="D16" s="22">
        <f>(D8*(1/(1+D7)))+((D9*(D7/(1+D7))*(1-D10)))</f>
        <v>9.8957142857142855E-2</v>
      </c>
      <c r="E16" s="18"/>
      <c r="F16" s="1"/>
      <c r="G16" s="1"/>
      <c r="H16" s="1"/>
      <c r="I16" s="1"/>
      <c r="J16" s="1"/>
    </row>
    <row r="17" spans="1:10" ht="15.75" customHeight="1" thickBot="1" x14ac:dyDescent="0.25">
      <c r="A17" s="1"/>
      <c r="B17" s="19"/>
      <c r="C17" s="20"/>
      <c r="D17" s="20"/>
      <c r="E17" s="2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.75" customHeight="1" x14ac:dyDescent="0.2">
      <c r="A2" s="1"/>
      <c r="B2" s="1"/>
      <c r="C2" s="1" t="s">
        <v>18</v>
      </c>
      <c r="D2" s="1"/>
      <c r="E2" s="1"/>
      <c r="F2" s="1"/>
      <c r="G2" s="1"/>
      <c r="H2" s="1"/>
      <c r="I2" s="1"/>
      <c r="J2" s="1"/>
    </row>
    <row r="3" spans="1:1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customHeight="1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.75" customHeight="1" x14ac:dyDescent="0.2">
      <c r="A7" s="1"/>
      <c r="B7" s="6"/>
      <c r="C7" s="11" t="s">
        <v>29</v>
      </c>
      <c r="D7" s="94">
        <v>9.0999999999999998E-2</v>
      </c>
      <c r="E7" s="7"/>
      <c r="F7" s="1"/>
      <c r="G7" s="1"/>
      <c r="H7" s="1"/>
      <c r="I7" s="1"/>
      <c r="J7" s="1"/>
    </row>
    <row r="8" spans="1:10" ht="15.75" customHeight="1" x14ac:dyDescent="0.2">
      <c r="A8" s="1"/>
      <c r="B8" s="6"/>
      <c r="C8" s="11" t="s">
        <v>4</v>
      </c>
      <c r="D8" s="78">
        <v>0.11</v>
      </c>
      <c r="E8" s="7"/>
      <c r="F8" s="1"/>
      <c r="G8" s="1"/>
      <c r="H8" s="1"/>
      <c r="I8" s="1"/>
      <c r="J8" s="1"/>
    </row>
    <row r="9" spans="1:10" ht="15.75" customHeight="1" x14ac:dyDescent="0.2">
      <c r="A9" s="1"/>
      <c r="B9" s="6"/>
      <c r="C9" s="11" t="s">
        <v>28</v>
      </c>
      <c r="D9" s="81">
        <v>6.4000000000000001E-2</v>
      </c>
      <c r="E9" s="7"/>
      <c r="F9" s="1"/>
      <c r="G9" s="1"/>
      <c r="H9" s="1"/>
      <c r="I9" s="1"/>
      <c r="J9" s="1"/>
    </row>
    <row r="10" spans="1:10" ht="15.75" customHeight="1" x14ac:dyDescent="0.2">
      <c r="A10" s="1"/>
      <c r="B10" s="6"/>
      <c r="C10" s="11" t="s">
        <v>14</v>
      </c>
      <c r="D10" s="78">
        <v>0.21</v>
      </c>
      <c r="E10" s="7"/>
      <c r="F10" s="1"/>
      <c r="G10" s="1"/>
      <c r="H10" s="1"/>
      <c r="I10" s="1"/>
      <c r="J10" s="1"/>
    </row>
    <row r="11" spans="1:10" ht="15.75" customHeight="1" thickBot="1" x14ac:dyDescent="0.25">
      <c r="A11" s="1"/>
      <c r="B11" s="8"/>
      <c r="C11" s="12"/>
      <c r="D11" s="9"/>
      <c r="E11" s="10"/>
      <c r="F11" s="1"/>
      <c r="G11" s="1"/>
      <c r="H11" s="1"/>
      <c r="I11" s="1"/>
      <c r="J11" s="1"/>
    </row>
    <row r="12" spans="1:10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customHeight="1" x14ac:dyDescent="0.2">
      <c r="A13" s="1"/>
      <c r="B13" s="1"/>
      <c r="C13" s="2" t="s">
        <v>2</v>
      </c>
      <c r="D13" s="1"/>
      <c r="E13" s="1"/>
      <c r="F13" s="1"/>
      <c r="G13" s="1"/>
      <c r="H13" s="1"/>
      <c r="I13" s="1"/>
      <c r="J13" s="1"/>
    </row>
    <row r="14" spans="1:10" ht="15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customHeight="1" x14ac:dyDescent="0.2">
      <c r="A15" s="1"/>
      <c r="B15" s="13"/>
      <c r="C15" s="14"/>
      <c r="D15" s="14"/>
      <c r="E15" s="15"/>
      <c r="F15" s="1"/>
      <c r="G15" s="1"/>
      <c r="H15" s="1"/>
      <c r="I15" s="1"/>
      <c r="J15" s="1"/>
    </row>
    <row r="16" spans="1:10" ht="15.75" customHeight="1" x14ac:dyDescent="0.25">
      <c r="A16" s="1"/>
      <c r="B16" s="16"/>
      <c r="C16" s="17" t="s">
        <v>33</v>
      </c>
      <c r="D16" s="95">
        <f>(D7-D8)/((D9*(1-D10))-D7)</f>
        <v>0.4698318496538082</v>
      </c>
      <c r="E16" s="18"/>
      <c r="F16" s="1"/>
      <c r="G16" s="1"/>
      <c r="H16" s="1"/>
      <c r="I16" s="1"/>
      <c r="J16" s="1"/>
    </row>
    <row r="17" spans="1:10" ht="15.75" customHeight="1" thickBot="1" x14ac:dyDescent="0.25">
      <c r="A17" s="1"/>
      <c r="B17" s="19"/>
      <c r="C17" s="20"/>
      <c r="D17" s="20"/>
      <c r="E17" s="21"/>
      <c r="F17" s="1"/>
      <c r="G17" s="1"/>
      <c r="H17" s="1"/>
      <c r="I17" s="1"/>
      <c r="J17" s="1"/>
    </row>
    <row r="18" spans="1:10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42578125" customWidth="1"/>
    <col min="4" max="4" width="18.140625" customWidth="1"/>
    <col min="5" max="5" width="4.5703125" customWidth="1"/>
  </cols>
  <sheetData>
    <row r="1" spans="1:10" ht="18" x14ac:dyDescent="0.25">
      <c r="A1" s="1"/>
      <c r="B1" s="1"/>
      <c r="C1" s="137" t="s">
        <v>159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21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3"/>
      <c r="C6" s="4"/>
      <c r="D6" s="4"/>
      <c r="E6" s="5"/>
      <c r="F6" s="1"/>
      <c r="G6" s="1"/>
      <c r="H6" s="1"/>
      <c r="I6" s="1"/>
      <c r="J6" s="1"/>
    </row>
    <row r="7" spans="1:10" ht="15" x14ac:dyDescent="0.2">
      <c r="A7" s="1"/>
      <c r="B7" s="6"/>
      <c r="C7" s="11" t="s">
        <v>42</v>
      </c>
      <c r="D7" s="85">
        <v>7600000</v>
      </c>
      <c r="E7" s="7"/>
      <c r="F7" s="1"/>
      <c r="G7" s="1"/>
      <c r="H7" s="1"/>
      <c r="I7" s="1"/>
      <c r="J7" s="1"/>
    </row>
    <row r="8" spans="1:10" ht="15" x14ac:dyDescent="0.2">
      <c r="A8" s="1"/>
      <c r="B8" s="6"/>
      <c r="C8" s="11" t="s">
        <v>96</v>
      </c>
      <c r="D8" s="83">
        <v>67</v>
      </c>
      <c r="E8" s="7"/>
      <c r="F8" s="1"/>
      <c r="G8" s="1"/>
      <c r="H8" s="1"/>
      <c r="I8" s="1"/>
      <c r="J8" s="1"/>
    </row>
    <row r="9" spans="1:10" ht="15" x14ac:dyDescent="0.2">
      <c r="A9" s="1"/>
      <c r="B9" s="6"/>
      <c r="C9" s="11" t="s">
        <v>97</v>
      </c>
      <c r="D9" s="83">
        <v>4</v>
      </c>
      <c r="E9" s="7"/>
      <c r="F9" s="1"/>
      <c r="G9" s="1"/>
      <c r="H9" s="1"/>
      <c r="I9" s="1"/>
      <c r="J9" s="1"/>
    </row>
    <row r="10" spans="1:10" ht="15" x14ac:dyDescent="0.2">
      <c r="A10" s="1"/>
      <c r="B10" s="6"/>
      <c r="C10" s="24" t="s">
        <v>100</v>
      </c>
      <c r="D10" s="83"/>
      <c r="E10" s="7"/>
      <c r="F10" s="1"/>
      <c r="G10" s="1"/>
      <c r="H10" s="1"/>
      <c r="I10" s="1"/>
      <c r="J10" s="1"/>
    </row>
    <row r="11" spans="1:10" ht="15" x14ac:dyDescent="0.2">
      <c r="A11" s="1"/>
      <c r="B11" s="6"/>
      <c r="C11" s="11" t="s">
        <v>101</v>
      </c>
      <c r="D11" s="83">
        <v>80000000</v>
      </c>
      <c r="E11" s="7"/>
      <c r="F11" s="1"/>
      <c r="G11" s="1"/>
      <c r="H11" s="1"/>
      <c r="I11" s="1"/>
      <c r="J11" s="1"/>
    </row>
    <row r="12" spans="1:10" ht="15" x14ac:dyDescent="0.2">
      <c r="A12" s="1"/>
      <c r="B12" s="6"/>
      <c r="C12" s="11" t="s">
        <v>19</v>
      </c>
      <c r="D12" s="94">
        <v>6.8000000000000005E-2</v>
      </c>
      <c r="E12" s="7"/>
      <c r="F12" s="1"/>
      <c r="G12" s="1"/>
      <c r="H12" s="1"/>
      <c r="I12" s="1"/>
      <c r="J12" s="1"/>
    </row>
    <row r="13" spans="1:10" ht="15" x14ac:dyDescent="0.2">
      <c r="A13" s="1"/>
      <c r="B13" s="6"/>
      <c r="C13" s="40" t="s">
        <v>93</v>
      </c>
      <c r="D13" s="138">
        <v>109.5</v>
      </c>
      <c r="E13" s="7"/>
      <c r="F13" s="1"/>
      <c r="G13" s="1"/>
      <c r="H13" s="1"/>
      <c r="I13" s="1"/>
      <c r="J13" s="1"/>
    </row>
    <row r="14" spans="1:10" ht="15" x14ac:dyDescent="0.2">
      <c r="A14" s="1"/>
      <c r="B14" s="6"/>
      <c r="C14" s="11" t="s">
        <v>89</v>
      </c>
      <c r="D14" s="84">
        <v>36526</v>
      </c>
      <c r="E14" s="7"/>
      <c r="F14" s="1"/>
      <c r="G14" s="1"/>
      <c r="H14" s="1"/>
      <c r="I14" s="1"/>
      <c r="J14" s="1"/>
    </row>
    <row r="15" spans="1:10" ht="15" x14ac:dyDescent="0.2">
      <c r="A15" s="1"/>
      <c r="B15" s="6"/>
      <c r="C15" s="11" t="s">
        <v>90</v>
      </c>
      <c r="D15" s="84">
        <v>39814</v>
      </c>
      <c r="E15" s="7"/>
      <c r="F15" s="1"/>
      <c r="G15" s="1"/>
      <c r="H15" s="1"/>
      <c r="I15" s="1"/>
      <c r="J15" s="1"/>
    </row>
    <row r="16" spans="1:10" ht="15" x14ac:dyDescent="0.2">
      <c r="A16" s="1"/>
      <c r="B16" s="6"/>
      <c r="C16" s="11" t="s">
        <v>82</v>
      </c>
      <c r="D16" s="85">
        <v>2</v>
      </c>
      <c r="E16" s="7"/>
      <c r="F16" s="1"/>
      <c r="G16" s="1"/>
      <c r="H16" s="1"/>
      <c r="I16" s="1"/>
      <c r="J16" s="1"/>
    </row>
    <row r="17" spans="1:10" ht="15" x14ac:dyDescent="0.2">
      <c r="A17" s="1"/>
      <c r="B17" s="6"/>
      <c r="C17" s="24" t="s">
        <v>102</v>
      </c>
      <c r="D17" s="85"/>
      <c r="E17" s="7"/>
      <c r="F17" s="1"/>
      <c r="G17" s="1"/>
      <c r="H17" s="1"/>
      <c r="I17" s="1"/>
      <c r="J17" s="1"/>
    </row>
    <row r="18" spans="1:10" ht="15" x14ac:dyDescent="0.2">
      <c r="A18" s="1"/>
      <c r="B18" s="6"/>
      <c r="C18" s="11" t="s">
        <v>101</v>
      </c>
      <c r="D18" s="83">
        <v>65000000</v>
      </c>
      <c r="E18" s="7"/>
      <c r="F18" s="1"/>
      <c r="G18" s="1"/>
      <c r="H18" s="1"/>
      <c r="I18" s="1"/>
      <c r="J18" s="1"/>
    </row>
    <row r="19" spans="1:10" ht="15" x14ac:dyDescent="0.2">
      <c r="A19" s="1"/>
      <c r="B19" s="6"/>
      <c r="C19" s="11" t="s">
        <v>19</v>
      </c>
      <c r="D19" s="94">
        <v>7.0999999999999994E-2</v>
      </c>
      <c r="E19" s="7"/>
      <c r="F19" s="1"/>
      <c r="G19" s="1"/>
      <c r="H19" s="1"/>
      <c r="I19" s="1"/>
      <c r="J19" s="1"/>
    </row>
    <row r="20" spans="1:10" ht="15" x14ac:dyDescent="0.2">
      <c r="A20" s="1"/>
      <c r="B20" s="6"/>
      <c r="C20" s="40" t="s">
        <v>93</v>
      </c>
      <c r="D20" s="138">
        <v>112.4</v>
      </c>
      <c r="E20" s="7"/>
      <c r="F20" s="1"/>
      <c r="G20" s="1"/>
      <c r="H20" s="1"/>
      <c r="I20" s="1"/>
      <c r="J20" s="1"/>
    </row>
    <row r="21" spans="1:10" ht="15" x14ac:dyDescent="0.2">
      <c r="A21" s="1"/>
      <c r="B21" s="6"/>
      <c r="C21" s="11" t="s">
        <v>89</v>
      </c>
      <c r="D21" s="84">
        <v>36526</v>
      </c>
      <c r="E21" s="7"/>
      <c r="F21" s="1"/>
      <c r="G21" s="1"/>
      <c r="H21" s="1"/>
      <c r="I21" s="1"/>
      <c r="J21" s="1"/>
    </row>
    <row r="22" spans="1:10" ht="15" x14ac:dyDescent="0.2">
      <c r="A22" s="1"/>
      <c r="B22" s="6"/>
      <c r="C22" s="11" t="s">
        <v>90</v>
      </c>
      <c r="D22" s="84">
        <v>45658</v>
      </c>
      <c r="E22" s="7"/>
      <c r="F22" s="1"/>
      <c r="G22" s="1"/>
      <c r="H22" s="1"/>
      <c r="I22" s="1"/>
      <c r="J22" s="1"/>
    </row>
    <row r="23" spans="1:10" ht="15" x14ac:dyDescent="0.2">
      <c r="A23" s="1"/>
      <c r="B23" s="6"/>
      <c r="C23" s="11" t="s">
        <v>82</v>
      </c>
      <c r="D23" s="85">
        <v>2</v>
      </c>
      <c r="E23" s="7"/>
      <c r="F23" s="1"/>
      <c r="G23" s="1"/>
      <c r="H23" s="1"/>
      <c r="I23" s="1"/>
      <c r="J23" s="1"/>
    </row>
    <row r="24" spans="1:10" ht="15.75" thickBot="1" x14ac:dyDescent="0.25">
      <c r="A24" s="1"/>
      <c r="B24" s="8"/>
      <c r="C24" s="12"/>
      <c r="D24" s="9"/>
      <c r="E24" s="10"/>
      <c r="F24" s="1"/>
      <c r="G24" s="1"/>
      <c r="H24" s="1"/>
      <c r="I24" s="1"/>
      <c r="J24" s="1"/>
    </row>
    <row r="25" spans="1:10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1"/>
      <c r="C26" s="2" t="s">
        <v>2</v>
      </c>
      <c r="D26" s="1"/>
      <c r="E26" s="1"/>
      <c r="F26" s="1"/>
      <c r="G26" s="1"/>
      <c r="H26" s="1"/>
      <c r="I26" s="1"/>
      <c r="J26" s="1"/>
    </row>
    <row r="27" spans="1:10" ht="15.75" thickBo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13"/>
      <c r="C28" s="14"/>
      <c r="D28" s="14"/>
      <c r="E28" s="15"/>
      <c r="F28" s="1"/>
      <c r="G28" s="1"/>
      <c r="H28" s="1"/>
      <c r="I28" s="1"/>
      <c r="J28" s="1"/>
    </row>
    <row r="29" spans="1:10" ht="15" x14ac:dyDescent="0.2">
      <c r="A29" s="1"/>
      <c r="B29" s="86" t="s">
        <v>84</v>
      </c>
      <c r="C29" s="17" t="s">
        <v>34</v>
      </c>
      <c r="D29" s="96">
        <f>D7*D9</f>
        <v>30400000</v>
      </c>
      <c r="E29" s="18"/>
      <c r="F29" s="1"/>
      <c r="G29" s="1"/>
      <c r="H29" s="1"/>
      <c r="I29" s="1"/>
      <c r="J29" s="1"/>
    </row>
    <row r="30" spans="1:10" ht="15" x14ac:dyDescent="0.2">
      <c r="A30" s="1"/>
      <c r="B30" s="16"/>
      <c r="C30" s="17" t="s">
        <v>35</v>
      </c>
      <c r="D30" s="96">
        <f>D11+D18</f>
        <v>145000000</v>
      </c>
      <c r="E30" s="18"/>
      <c r="F30" s="1"/>
      <c r="G30" s="1"/>
      <c r="H30" s="1"/>
      <c r="I30" s="1"/>
      <c r="J30" s="1"/>
    </row>
    <row r="31" spans="1:10" ht="15" x14ac:dyDescent="0.2">
      <c r="A31" s="1"/>
      <c r="B31" s="16"/>
      <c r="C31" s="17" t="s">
        <v>36</v>
      </c>
      <c r="D31" s="96">
        <f>D29+D30</f>
        <v>175400000</v>
      </c>
      <c r="E31" s="18"/>
      <c r="F31" s="1"/>
      <c r="G31" s="1"/>
      <c r="H31" s="1"/>
      <c r="I31" s="1"/>
      <c r="J31" s="1"/>
    </row>
    <row r="32" spans="1:10" ht="15" x14ac:dyDescent="0.2">
      <c r="A32" s="1"/>
      <c r="B32" s="16"/>
      <c r="C32" s="17"/>
      <c r="D32" s="96"/>
      <c r="E32" s="18"/>
      <c r="F32" s="1"/>
      <c r="G32" s="1"/>
      <c r="H32" s="1"/>
      <c r="I32" s="1"/>
      <c r="J32" s="1"/>
    </row>
    <row r="33" spans="1:10" ht="15.75" x14ac:dyDescent="0.25">
      <c r="A33" s="1"/>
      <c r="B33" s="16"/>
      <c r="C33" s="17" t="s">
        <v>37</v>
      </c>
      <c r="D33" s="97">
        <f>D29/D31</f>
        <v>0.1733181299885975</v>
      </c>
      <c r="E33" s="18"/>
      <c r="F33" s="1"/>
      <c r="G33" s="1"/>
      <c r="H33" s="1"/>
      <c r="I33" s="1"/>
      <c r="J33" s="1"/>
    </row>
    <row r="34" spans="1:10" ht="15.75" x14ac:dyDescent="0.25">
      <c r="A34" s="1"/>
      <c r="B34" s="16"/>
      <c r="C34" s="17" t="s">
        <v>38</v>
      </c>
      <c r="D34" s="97">
        <f>1-D33</f>
        <v>0.82668187001140248</v>
      </c>
      <c r="E34" s="18"/>
      <c r="F34" s="1"/>
      <c r="G34" s="1"/>
      <c r="H34" s="1"/>
      <c r="I34" s="1"/>
      <c r="J34" s="1"/>
    </row>
    <row r="35" spans="1:10" ht="15" x14ac:dyDescent="0.2">
      <c r="A35" s="1"/>
      <c r="B35" s="16"/>
      <c r="C35" s="17"/>
      <c r="D35" s="27"/>
      <c r="E35" s="18"/>
      <c r="F35" s="1"/>
      <c r="G35" s="1"/>
      <c r="H35" s="1"/>
      <c r="I35" s="1"/>
      <c r="J35" s="1"/>
    </row>
    <row r="36" spans="1:10" ht="15" x14ac:dyDescent="0.2">
      <c r="A36" s="1"/>
      <c r="B36" s="86" t="s">
        <v>85</v>
      </c>
      <c r="C36" s="17" t="s">
        <v>140</v>
      </c>
      <c r="D36" s="96">
        <f>D7*D8</f>
        <v>509200000</v>
      </c>
      <c r="E36" s="18"/>
      <c r="F36" s="1"/>
      <c r="G36" s="1"/>
      <c r="H36" s="1"/>
      <c r="I36" s="1"/>
      <c r="J36" s="1"/>
    </row>
    <row r="37" spans="1:10" ht="15" x14ac:dyDescent="0.2">
      <c r="A37" s="1"/>
      <c r="B37" s="16"/>
      <c r="C37" s="17" t="s">
        <v>141</v>
      </c>
      <c r="D37" s="96">
        <f>(D11*D13/100)+(D18*D20/100)</f>
        <v>160660000</v>
      </c>
      <c r="E37" s="18"/>
      <c r="F37" s="1"/>
      <c r="G37" s="1"/>
      <c r="H37" s="1"/>
      <c r="I37" s="1"/>
      <c r="J37" s="1"/>
    </row>
    <row r="38" spans="1:10" ht="15" x14ac:dyDescent="0.2">
      <c r="A38" s="1"/>
      <c r="B38" s="16"/>
      <c r="C38" s="17" t="s">
        <v>36</v>
      </c>
      <c r="D38" s="96">
        <f>D36+D37</f>
        <v>669860000</v>
      </c>
      <c r="E38" s="18"/>
      <c r="F38" s="1"/>
      <c r="G38" s="1"/>
      <c r="H38" s="1"/>
      <c r="I38" s="1"/>
      <c r="J38" s="1"/>
    </row>
    <row r="39" spans="1:10" ht="15" x14ac:dyDescent="0.2">
      <c r="A39" s="1"/>
      <c r="B39" s="16"/>
      <c r="C39" s="17"/>
      <c r="D39" s="96"/>
      <c r="E39" s="18"/>
      <c r="F39" s="1"/>
      <c r="G39" s="1"/>
      <c r="H39" s="1"/>
      <c r="I39" s="1"/>
      <c r="J39" s="1"/>
    </row>
    <row r="40" spans="1:10" ht="15.75" x14ac:dyDescent="0.25">
      <c r="A40" s="1"/>
      <c r="B40" s="16"/>
      <c r="C40" s="17" t="s">
        <v>142</v>
      </c>
      <c r="D40" s="97">
        <f>D36/D38</f>
        <v>0.7601588391604216</v>
      </c>
      <c r="E40" s="18"/>
      <c r="F40" s="1"/>
      <c r="G40" s="1"/>
      <c r="H40" s="1"/>
      <c r="I40" s="1"/>
      <c r="J40" s="1"/>
    </row>
    <row r="41" spans="1:10" ht="15.75" x14ac:dyDescent="0.25">
      <c r="A41" s="1"/>
      <c r="B41" s="16"/>
      <c r="C41" s="17" t="s">
        <v>143</v>
      </c>
      <c r="D41" s="97">
        <f>1-D40</f>
        <v>0.2398411608395784</v>
      </c>
      <c r="E41" s="18"/>
      <c r="F41" s="1"/>
      <c r="G41" s="1"/>
      <c r="H41" s="1"/>
      <c r="I41" s="1"/>
      <c r="J41" s="1"/>
    </row>
    <row r="42" spans="1:10" ht="15" x14ac:dyDescent="0.2">
      <c r="A42" s="1"/>
      <c r="B42" s="16"/>
      <c r="C42" s="17"/>
      <c r="D42" s="27"/>
      <c r="E42" s="18"/>
      <c r="F42" s="1"/>
      <c r="G42" s="1"/>
      <c r="H42" s="1"/>
      <c r="I42" s="1"/>
      <c r="J42" s="1"/>
    </row>
    <row r="43" spans="1:10" ht="15" x14ac:dyDescent="0.2">
      <c r="A43" s="1"/>
      <c r="B43" s="16"/>
      <c r="C43" s="17" t="s">
        <v>39</v>
      </c>
      <c r="D43" s="27"/>
      <c r="E43" s="18"/>
      <c r="F43" s="1"/>
      <c r="G43" s="1"/>
      <c r="H43" s="1"/>
      <c r="I43" s="1"/>
      <c r="J43" s="1"/>
    </row>
    <row r="44" spans="1:10" ht="15" x14ac:dyDescent="0.2">
      <c r="A44" s="1"/>
      <c r="B44" s="16"/>
      <c r="C44" s="17" t="s">
        <v>98</v>
      </c>
      <c r="D44" s="27"/>
      <c r="E44" s="18"/>
      <c r="F44" s="1"/>
      <c r="G44" s="1"/>
      <c r="H44" s="1"/>
      <c r="I44" s="1"/>
      <c r="J44" s="1"/>
    </row>
    <row r="45" spans="1:10" ht="15" x14ac:dyDescent="0.2">
      <c r="A45" s="1"/>
      <c r="B45" s="16"/>
      <c r="C45" s="17" t="s">
        <v>99</v>
      </c>
      <c r="D45" s="27"/>
      <c r="E45" s="18"/>
      <c r="F45" s="1"/>
      <c r="G45" s="1"/>
      <c r="H45" s="1"/>
      <c r="I45" s="1"/>
      <c r="J45" s="1"/>
    </row>
    <row r="46" spans="1:10" ht="15.75" thickBot="1" x14ac:dyDescent="0.25">
      <c r="A46" s="1"/>
      <c r="B46" s="19"/>
      <c r="C46" s="20"/>
      <c r="D46" s="20"/>
      <c r="E46" s="2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Chapter 13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2009-01-05T21:36:29Z</cp:lastPrinted>
  <dcterms:created xsi:type="dcterms:W3CDTF">2002-05-18T22:27:55Z</dcterms:created>
  <dcterms:modified xsi:type="dcterms:W3CDTF">2018-09-28T19:12:13Z</dcterms:modified>
</cp:coreProperties>
</file>